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freddy\projects\SRTP\Workforce Planning\05 Data\Demand Modelling Tool\"/>
    </mc:Choice>
  </mc:AlternateContent>
  <xr:revisionPtr revIDLastSave="0" documentId="13_ncr:1_{F251F256-9826-4F2A-8C88-AF692750D436}" xr6:coauthVersionLast="47" xr6:coauthVersionMax="47" xr10:uidLastSave="{00000000-0000-0000-0000-000000000000}"/>
  <bookViews>
    <workbookView xWindow="-98" yWindow="-98" windowWidth="28996" windowHeight="15796" tabRatio="791" xr2:uid="{00000000-000D-0000-FFFF-FFFF00000000}"/>
  </bookViews>
  <sheets>
    <sheet name="Introduction" sheetId="17" r:id="rId1"/>
    <sheet name="User Guide" sheetId="19" r:id="rId2"/>
    <sheet name="Input - Throughput" sheetId="4" r:id="rId3"/>
    <sheet name="Input - Capacity" sheetId="6" r:id="rId4"/>
    <sheet name="Input - Activity and Demand" sheetId="7" r:id="rId5"/>
    <sheet name="Input - Workforce Supply" sheetId="18" r:id="rId6"/>
    <sheet name="Input - Modelling Variables" sheetId="16" r:id="rId7"/>
    <sheet name="Radiologists &amp; Reporting Radiog" sheetId="8" r:id="rId8"/>
    <sheet name="Diagnostic Radiography" sheetId="9" r:id="rId9"/>
    <sheet name="Sonographers" sheetId="11" r:id="rId10"/>
    <sheet name="Rationale" sheetId="15"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9" i="9" l="1"/>
  <c r="B80" i="9"/>
  <c r="B81" i="9"/>
  <c r="B82" i="9"/>
  <c r="C22" i="11"/>
  <c r="D22" i="11"/>
  <c r="E22" i="11"/>
  <c r="F22" i="11"/>
  <c r="G22" i="11"/>
  <c r="H22" i="11"/>
  <c r="I22" i="11"/>
  <c r="J22" i="11"/>
  <c r="K22" i="11"/>
  <c r="L22" i="11"/>
  <c r="M22" i="11"/>
  <c r="N22" i="11"/>
  <c r="O22" i="11"/>
  <c r="P22" i="11"/>
  <c r="C23" i="11"/>
  <c r="D23" i="11"/>
  <c r="E23" i="11"/>
  <c r="F23" i="11"/>
  <c r="G23" i="11"/>
  <c r="H23" i="11"/>
  <c r="I23" i="11"/>
  <c r="J23" i="11"/>
  <c r="K23" i="11"/>
  <c r="L23" i="11"/>
  <c r="M23" i="11"/>
  <c r="N23" i="11"/>
  <c r="O23" i="11"/>
  <c r="P23" i="11"/>
  <c r="C24" i="11"/>
  <c r="D24" i="11"/>
  <c r="E24" i="11"/>
  <c r="F24" i="11"/>
  <c r="G24" i="11"/>
  <c r="H24" i="11"/>
  <c r="I24" i="11"/>
  <c r="J24" i="11"/>
  <c r="K24" i="11"/>
  <c r="L24" i="11"/>
  <c r="M24" i="11"/>
  <c r="N24" i="11"/>
  <c r="O24" i="11"/>
  <c r="P24" i="11"/>
  <c r="B23" i="11"/>
  <c r="B24" i="11"/>
  <c r="B22" i="11"/>
  <c r="C113" i="9"/>
  <c r="D113" i="9"/>
  <c r="E113" i="9"/>
  <c r="I113" i="9"/>
  <c r="J113" i="9"/>
  <c r="C114" i="9"/>
  <c r="D114" i="9"/>
  <c r="I114" i="9"/>
  <c r="J114" i="9"/>
  <c r="K114" i="9"/>
  <c r="L114" i="9"/>
  <c r="E115" i="9"/>
  <c r="F115" i="9"/>
  <c r="I115" i="9"/>
  <c r="M115" i="9"/>
  <c r="N115" i="9"/>
  <c r="B115" i="9"/>
  <c r="B113" i="9"/>
  <c r="B114" i="9"/>
  <c r="C104" i="9"/>
  <c r="D104" i="9"/>
  <c r="E104" i="9"/>
  <c r="F104" i="9"/>
  <c r="G104" i="9"/>
  <c r="H104" i="9"/>
  <c r="I104" i="9"/>
  <c r="J104" i="9"/>
  <c r="K104" i="9"/>
  <c r="L104" i="9"/>
  <c r="M104" i="9"/>
  <c r="N104" i="9"/>
  <c r="O104" i="9"/>
  <c r="P104" i="9"/>
  <c r="C105" i="9"/>
  <c r="D105" i="9"/>
  <c r="E105" i="9"/>
  <c r="F105" i="9"/>
  <c r="G105" i="9"/>
  <c r="H105" i="9"/>
  <c r="I105" i="9"/>
  <c r="J105" i="9"/>
  <c r="K105" i="9"/>
  <c r="L105" i="9"/>
  <c r="M105" i="9"/>
  <c r="N105" i="9"/>
  <c r="O105" i="9"/>
  <c r="P105" i="9"/>
  <c r="C106" i="9"/>
  <c r="D106" i="9"/>
  <c r="E106" i="9"/>
  <c r="F106" i="9"/>
  <c r="G106" i="9"/>
  <c r="H106" i="9"/>
  <c r="I106" i="9"/>
  <c r="J106" i="9"/>
  <c r="K106" i="9"/>
  <c r="L106" i="9"/>
  <c r="M106" i="9"/>
  <c r="N106" i="9"/>
  <c r="O106" i="9"/>
  <c r="P106" i="9"/>
  <c r="C107" i="9"/>
  <c r="D107" i="9"/>
  <c r="E107" i="9"/>
  <c r="F107" i="9"/>
  <c r="G107" i="9"/>
  <c r="H107" i="9"/>
  <c r="I107" i="9"/>
  <c r="J107" i="9"/>
  <c r="K107" i="9"/>
  <c r="L107" i="9"/>
  <c r="M107" i="9"/>
  <c r="N107" i="9"/>
  <c r="O107" i="9"/>
  <c r="P107" i="9"/>
  <c r="C108" i="9"/>
  <c r="D108" i="9"/>
  <c r="E108" i="9"/>
  <c r="F108" i="9"/>
  <c r="G108" i="9"/>
  <c r="H108" i="9"/>
  <c r="I108" i="9"/>
  <c r="J108" i="9"/>
  <c r="K108" i="9"/>
  <c r="L108" i="9"/>
  <c r="M108" i="9"/>
  <c r="N108" i="9"/>
  <c r="O108" i="9"/>
  <c r="P108" i="9"/>
  <c r="C109" i="9"/>
  <c r="D109" i="9"/>
  <c r="E109" i="9"/>
  <c r="F109" i="9"/>
  <c r="G109" i="9"/>
  <c r="H109" i="9"/>
  <c r="I109" i="9"/>
  <c r="J109" i="9"/>
  <c r="K109" i="9"/>
  <c r="L109" i="9"/>
  <c r="M109" i="9"/>
  <c r="N109" i="9"/>
  <c r="O109" i="9"/>
  <c r="P109" i="9"/>
  <c r="C110" i="9"/>
  <c r="D110" i="9"/>
  <c r="E110" i="9"/>
  <c r="F110" i="9"/>
  <c r="G110" i="9"/>
  <c r="H110" i="9"/>
  <c r="I110" i="9"/>
  <c r="J110" i="9"/>
  <c r="K110" i="9"/>
  <c r="L110" i="9"/>
  <c r="M110" i="9"/>
  <c r="N110" i="9"/>
  <c r="O110" i="9"/>
  <c r="P110" i="9"/>
  <c r="C111" i="9"/>
  <c r="D111" i="9"/>
  <c r="E111" i="9"/>
  <c r="F111" i="9"/>
  <c r="G111" i="9"/>
  <c r="H111" i="9"/>
  <c r="I111" i="9"/>
  <c r="J111" i="9"/>
  <c r="K111" i="9"/>
  <c r="L111" i="9"/>
  <c r="M111" i="9"/>
  <c r="N111" i="9"/>
  <c r="O111" i="9"/>
  <c r="P111" i="9"/>
  <c r="C112" i="9"/>
  <c r="D112" i="9"/>
  <c r="E112" i="9"/>
  <c r="F112" i="9"/>
  <c r="G112" i="9"/>
  <c r="H112" i="9"/>
  <c r="I112" i="9"/>
  <c r="J112" i="9"/>
  <c r="K112" i="9"/>
  <c r="L112" i="9"/>
  <c r="M112" i="9"/>
  <c r="N112" i="9"/>
  <c r="O112" i="9"/>
  <c r="P112" i="9"/>
  <c r="F113" i="9"/>
  <c r="G113" i="9"/>
  <c r="H113" i="9"/>
  <c r="K113" i="9"/>
  <c r="L113" i="9"/>
  <c r="M113" i="9"/>
  <c r="N113" i="9"/>
  <c r="O113" i="9"/>
  <c r="P113" i="9"/>
  <c r="E114" i="9"/>
  <c r="F114" i="9"/>
  <c r="G114" i="9"/>
  <c r="H114" i="9"/>
  <c r="M114" i="9"/>
  <c r="N114" i="9"/>
  <c r="O114" i="9"/>
  <c r="P114" i="9"/>
  <c r="C115" i="9"/>
  <c r="D115" i="9"/>
  <c r="G115" i="9"/>
  <c r="H115" i="9"/>
  <c r="J115" i="9"/>
  <c r="K115" i="9"/>
  <c r="L115" i="9"/>
  <c r="O115" i="9"/>
  <c r="P115" i="9"/>
  <c r="B112" i="9"/>
  <c r="B111" i="9"/>
  <c r="B110" i="9"/>
  <c r="B106" i="9"/>
  <c r="B105" i="9"/>
  <c r="B104" i="9"/>
  <c r="B109" i="9"/>
  <c r="B108" i="9"/>
  <c r="B107" i="9"/>
  <c r="C80" i="9"/>
  <c r="D80" i="9"/>
  <c r="E80" i="9"/>
  <c r="F80" i="9"/>
  <c r="G80" i="9"/>
  <c r="H80" i="9"/>
  <c r="I80" i="9"/>
  <c r="J80" i="9"/>
  <c r="K80" i="9"/>
  <c r="L80" i="9"/>
  <c r="M80" i="9"/>
  <c r="N80" i="9"/>
  <c r="O80" i="9"/>
  <c r="P80" i="9"/>
  <c r="C81" i="9"/>
  <c r="D81" i="9"/>
  <c r="E81" i="9"/>
  <c r="F81" i="9"/>
  <c r="G81" i="9"/>
  <c r="H81" i="9"/>
  <c r="I81" i="9"/>
  <c r="J81" i="9"/>
  <c r="K81" i="9"/>
  <c r="L81" i="9"/>
  <c r="M81" i="9"/>
  <c r="N81" i="9"/>
  <c r="O81" i="9"/>
  <c r="P81" i="9"/>
  <c r="C82" i="9"/>
  <c r="D82" i="9"/>
  <c r="E82" i="9"/>
  <c r="F82" i="9"/>
  <c r="G82" i="9"/>
  <c r="H82" i="9"/>
  <c r="I82" i="9"/>
  <c r="J82" i="9"/>
  <c r="K82" i="9"/>
  <c r="L82" i="9"/>
  <c r="M82" i="9"/>
  <c r="N82" i="9"/>
  <c r="O82" i="9"/>
  <c r="P82" i="9"/>
  <c r="C79" i="9"/>
  <c r="D79" i="9"/>
  <c r="E79" i="9"/>
  <c r="F79" i="9"/>
  <c r="G79" i="9"/>
  <c r="H79" i="9"/>
  <c r="I79" i="9"/>
  <c r="J79" i="9"/>
  <c r="K79" i="9"/>
  <c r="L79" i="9"/>
  <c r="M79" i="9"/>
  <c r="N79" i="9"/>
  <c r="O79" i="9"/>
  <c r="P79" i="9"/>
  <c r="G78" i="9"/>
  <c r="H78" i="9"/>
  <c r="I78" i="9"/>
  <c r="J78" i="9"/>
  <c r="K78" i="9"/>
  <c r="L78" i="9"/>
  <c r="M78" i="9"/>
  <c r="N78" i="9"/>
  <c r="O78" i="9"/>
  <c r="P78" i="9"/>
  <c r="C77" i="8"/>
  <c r="D77" i="8"/>
  <c r="E77" i="8"/>
  <c r="F77" i="8"/>
  <c r="G77" i="8"/>
  <c r="H77" i="8"/>
  <c r="I77" i="8"/>
  <c r="J77" i="8"/>
  <c r="K77" i="8"/>
  <c r="L77" i="8"/>
  <c r="M77" i="8"/>
  <c r="N77" i="8"/>
  <c r="O77" i="8"/>
  <c r="P77" i="8"/>
  <c r="C78" i="8"/>
  <c r="D78" i="8"/>
  <c r="E78" i="8"/>
  <c r="F78" i="8"/>
  <c r="G78" i="8"/>
  <c r="H78" i="8"/>
  <c r="I78" i="8"/>
  <c r="J78" i="8"/>
  <c r="K78" i="8"/>
  <c r="L78" i="8"/>
  <c r="M78" i="8"/>
  <c r="N78" i="8"/>
  <c r="O78" i="8"/>
  <c r="P78" i="8"/>
  <c r="C79" i="8"/>
  <c r="D79" i="8"/>
  <c r="E79" i="8"/>
  <c r="F79" i="8"/>
  <c r="G79" i="8"/>
  <c r="H79" i="8"/>
  <c r="I79" i="8"/>
  <c r="J79" i="8"/>
  <c r="K79" i="8"/>
  <c r="L79" i="8"/>
  <c r="M79" i="8"/>
  <c r="N79" i="8"/>
  <c r="O79" i="8"/>
  <c r="P79" i="8"/>
  <c r="B79" i="8"/>
  <c r="B78" i="8"/>
  <c r="B77" i="8"/>
  <c r="C70" i="8"/>
  <c r="D70" i="8"/>
  <c r="E70" i="8"/>
  <c r="F70" i="8"/>
  <c r="G70" i="8"/>
  <c r="H70" i="8"/>
  <c r="I70" i="8"/>
  <c r="J70" i="8"/>
  <c r="K70" i="8"/>
  <c r="L70" i="8"/>
  <c r="M70" i="8"/>
  <c r="N70" i="8"/>
  <c r="O70" i="8"/>
  <c r="P70" i="8"/>
  <c r="C71" i="8"/>
  <c r="D71" i="8"/>
  <c r="E71" i="8"/>
  <c r="F71" i="8"/>
  <c r="G71" i="8"/>
  <c r="H71" i="8"/>
  <c r="I71" i="8"/>
  <c r="J71" i="8"/>
  <c r="K71" i="8"/>
  <c r="L71" i="8"/>
  <c r="M71" i="8"/>
  <c r="N71" i="8"/>
  <c r="O71" i="8"/>
  <c r="P71" i="8"/>
  <c r="B70" i="8"/>
  <c r="B71" i="8"/>
  <c r="C69" i="8"/>
  <c r="D69" i="8"/>
  <c r="E69" i="8"/>
  <c r="F69" i="8"/>
  <c r="G69" i="8"/>
  <c r="H69" i="8"/>
  <c r="I69" i="8"/>
  <c r="J69" i="8"/>
  <c r="K69" i="8"/>
  <c r="L69" i="8"/>
  <c r="M69" i="8"/>
  <c r="N69" i="8"/>
  <c r="O69" i="8"/>
  <c r="P69" i="8"/>
  <c r="B69" i="8"/>
  <c r="D15" i="8"/>
  <c r="D16" i="8" s="1"/>
  <c r="F28" i="8"/>
  <c r="H10" i="4"/>
  <c r="E29" i="8" s="1"/>
  <c r="H7" i="4"/>
  <c r="C28" i="8" s="1"/>
  <c r="C58" i="8" s="1"/>
  <c r="E15" i="4"/>
  <c r="C15" i="8"/>
  <c r="C16" i="8" s="1"/>
  <c r="E15" i="8"/>
  <c r="E16" i="8" s="1"/>
  <c r="F15" i="8"/>
  <c r="F16" i="8" s="1"/>
  <c r="B15" i="8"/>
  <c r="B16" i="8" s="1"/>
  <c r="D29" i="8" l="1"/>
  <c r="D28" i="8"/>
  <c r="C29" i="8"/>
  <c r="C59" i="8" s="1"/>
  <c r="E28" i="8"/>
  <c r="B28" i="8"/>
  <c r="B58" i="8" s="1"/>
  <c r="B29" i="8"/>
  <c r="B59" i="8" s="1"/>
  <c r="F29" i="8"/>
  <c r="B39" i="7" l="1"/>
  <c r="B40" i="7"/>
  <c r="B41" i="7"/>
  <c r="B42" i="7"/>
  <c r="B43" i="7"/>
  <c r="B44" i="7"/>
  <c r="B45" i="7"/>
  <c r="B46" i="7"/>
  <c r="B47" i="7"/>
  <c r="B48" i="7"/>
  <c r="B49" i="7"/>
  <c r="B38" i="7"/>
  <c r="H26" i="16"/>
  <c r="G35" i="16" l="1"/>
  <c r="F32" i="16"/>
  <c r="F29" i="16"/>
  <c r="G41" i="16"/>
  <c r="E14" i="16"/>
  <c r="I38" i="16"/>
  <c r="F23" i="16"/>
  <c r="E8" i="16"/>
  <c r="E5" i="16"/>
  <c r="L5" i="4"/>
  <c r="C8" i="8" l="1"/>
  <c r="B8" i="8"/>
  <c r="E8" i="8"/>
  <c r="D8" i="8"/>
  <c r="F8" i="8"/>
  <c r="L9" i="4"/>
  <c r="K9" i="4" l="1"/>
  <c r="N9" i="4" l="1"/>
  <c r="L13" i="4"/>
  <c r="K13" i="4"/>
  <c r="K14" i="4"/>
  <c r="N13" i="4" l="1"/>
  <c r="I10" i="6"/>
  <c r="L11" i="4" l="1"/>
  <c r="L8" i="4"/>
  <c r="L7" i="4"/>
  <c r="L10" i="4"/>
  <c r="L14" i="4"/>
  <c r="F63" i="7"/>
  <c r="F62" i="7"/>
  <c r="F61" i="7"/>
  <c r="F60" i="7"/>
  <c r="F59" i="7"/>
  <c r="F58" i="7"/>
  <c r="F57" i="7"/>
  <c r="F56" i="7"/>
  <c r="F55" i="7"/>
  <c r="F25" i="7"/>
  <c r="F23" i="7"/>
  <c r="K11" i="4"/>
  <c r="N5" i="4"/>
  <c r="Q15" i="4"/>
  <c r="R15" i="4" s="1"/>
  <c r="K10" i="4"/>
  <c r="K8" i="4"/>
  <c r="K7" i="4"/>
  <c r="B46" i="8" l="1"/>
  <c r="C46" i="8"/>
  <c r="N10" i="4"/>
  <c r="F28" i="7"/>
  <c r="G28" i="7" s="1"/>
  <c r="G15" i="8" s="1"/>
  <c r="G16" i="8" s="1"/>
  <c r="F20" i="7"/>
  <c r="G20" i="7" s="1"/>
  <c r="G25" i="7"/>
  <c r="H25" i="7" s="1"/>
  <c r="I25" i="7" s="1"/>
  <c r="J25" i="7" s="1"/>
  <c r="K25" i="7" s="1"/>
  <c r="L25" i="7" s="1"/>
  <c r="M25" i="7" s="1"/>
  <c r="N25" i="7" s="1"/>
  <c r="O25" i="7" s="1"/>
  <c r="P25" i="7" s="1"/>
  <c r="F27" i="7"/>
  <c r="G27" i="7" s="1"/>
  <c r="F29" i="7"/>
  <c r="G29" i="7" s="1"/>
  <c r="F30" i="7"/>
  <c r="G30" i="7" s="1"/>
  <c r="D39" i="7"/>
  <c r="D40" i="7"/>
  <c r="D43" i="7"/>
  <c r="D45" i="7"/>
  <c r="D46" i="7"/>
  <c r="D45" i="8" s="1"/>
  <c r="D46" i="8" s="1"/>
  <c r="D41" i="7"/>
  <c r="D38" i="8" s="1"/>
  <c r="D47" i="7"/>
  <c r="D38" i="7"/>
  <c r="D48" i="7"/>
  <c r="N11" i="4"/>
  <c r="F22" i="7"/>
  <c r="G22" i="7" s="1"/>
  <c r="F21" i="7"/>
  <c r="G21" i="7" s="1"/>
  <c r="N8" i="4"/>
  <c r="N7" i="4"/>
  <c r="N14" i="4"/>
  <c r="G23" i="7"/>
  <c r="G8" i="8" s="1"/>
  <c r="D42" i="7"/>
  <c r="D39" i="8" s="1"/>
  <c r="F24" i="7"/>
  <c r="G24" i="7" s="1"/>
  <c r="G9" i="8" s="1"/>
  <c r="D49" i="7"/>
  <c r="F31" i="7"/>
  <c r="G31" i="7" s="1"/>
  <c r="D44" i="7"/>
  <c r="F26" i="7"/>
  <c r="G26" i="7" s="1"/>
  <c r="F64" i="7"/>
  <c r="E64" i="7"/>
  <c r="G28" i="8" l="1"/>
  <c r="G29" i="8"/>
  <c r="D59" i="8"/>
  <c r="E39" i="7"/>
  <c r="D58" i="8"/>
  <c r="B45" i="8"/>
  <c r="C45" i="8"/>
  <c r="H28" i="7"/>
  <c r="H15" i="8" s="1"/>
  <c r="H16" i="8" s="1"/>
  <c r="F33" i="7"/>
  <c r="D50" i="7"/>
  <c r="D51" i="7"/>
  <c r="G33" i="7"/>
  <c r="G32" i="7"/>
  <c r="F32" i="7"/>
  <c r="E40" i="7"/>
  <c r="H30" i="7"/>
  <c r="H27" i="7"/>
  <c r="H26" i="7"/>
  <c r="H20" i="7"/>
  <c r="H31" i="7"/>
  <c r="H21" i="7"/>
  <c r="H22" i="7"/>
  <c r="H29" i="7"/>
  <c r="H24" i="7"/>
  <c r="H9" i="8" s="1"/>
  <c r="H23" i="7"/>
  <c r="H8" i="8" s="1"/>
  <c r="E42" i="7"/>
  <c r="E39" i="8" s="1"/>
  <c r="E45" i="7"/>
  <c r="E48" i="7"/>
  <c r="E44" i="7"/>
  <c r="E41" i="7"/>
  <c r="E38" i="8" s="1"/>
  <c r="E43" i="7"/>
  <c r="E46" i="7"/>
  <c r="E45" i="8" s="1"/>
  <c r="E46" i="8" s="1"/>
  <c r="E47" i="7"/>
  <c r="H29" i="8" l="1"/>
  <c r="E59" i="8"/>
  <c r="H28" i="8"/>
  <c r="E58" i="8"/>
  <c r="F39" i="7"/>
  <c r="I28" i="7"/>
  <c r="I15" i="8" s="1"/>
  <c r="I16" i="8" s="1"/>
  <c r="H33" i="7"/>
  <c r="H32" i="7"/>
  <c r="F40" i="7"/>
  <c r="I27" i="7"/>
  <c r="I30" i="7"/>
  <c r="F46" i="7"/>
  <c r="F45" i="8" s="1"/>
  <c r="F46" i="8" s="1"/>
  <c r="F43" i="7"/>
  <c r="I22" i="7"/>
  <c r="F44" i="7"/>
  <c r="F48" i="7"/>
  <c r="F45" i="7"/>
  <c r="I21" i="7"/>
  <c r="I20" i="7"/>
  <c r="I31" i="7"/>
  <c r="I26" i="7"/>
  <c r="F47" i="7"/>
  <c r="I29" i="7"/>
  <c r="F42" i="7"/>
  <c r="F39" i="8" s="1"/>
  <c r="I23" i="7"/>
  <c r="I8" i="8" s="1"/>
  <c r="I24" i="7"/>
  <c r="I9" i="8" s="1"/>
  <c r="F41" i="7"/>
  <c r="F38" i="8" s="1"/>
  <c r="E49" i="7"/>
  <c r="F59" i="8" l="1"/>
  <c r="I28" i="8"/>
  <c r="F58" i="8"/>
  <c r="I29" i="8"/>
  <c r="G39" i="7"/>
  <c r="H39" i="7" s="1"/>
  <c r="J28" i="7"/>
  <c r="J15" i="8" s="1"/>
  <c r="J16" i="8" s="1"/>
  <c r="I33" i="7"/>
  <c r="I32" i="7"/>
  <c r="G40" i="7"/>
  <c r="J30" i="7"/>
  <c r="J27" i="7"/>
  <c r="G46" i="7"/>
  <c r="G45" i="8" s="1"/>
  <c r="G46" i="8" s="1"/>
  <c r="G43" i="7"/>
  <c r="G45" i="7"/>
  <c r="J31" i="7"/>
  <c r="G44" i="7"/>
  <c r="F49" i="7"/>
  <c r="J26" i="7"/>
  <c r="J20" i="7"/>
  <c r="G48" i="7"/>
  <c r="J22" i="7"/>
  <c r="J21" i="7"/>
  <c r="J29" i="7"/>
  <c r="G47" i="7"/>
  <c r="J23" i="7"/>
  <c r="J8" i="8" s="1"/>
  <c r="G42" i="7"/>
  <c r="G39" i="8" s="1"/>
  <c r="J24" i="7"/>
  <c r="J9" i="8" s="1"/>
  <c r="G41" i="7"/>
  <c r="G38" i="8" s="1"/>
  <c r="J28" i="8" l="1"/>
  <c r="J29" i="8"/>
  <c r="H58" i="8"/>
  <c r="G58" i="8"/>
  <c r="G59" i="8"/>
  <c r="K28" i="7"/>
  <c r="K15" i="8" s="1"/>
  <c r="K16" i="8" s="1"/>
  <c r="H46" i="7"/>
  <c r="H45" i="8" s="1"/>
  <c r="H46" i="8" s="1"/>
  <c r="J33" i="7"/>
  <c r="J32" i="7"/>
  <c r="H40" i="7"/>
  <c r="K27" i="7"/>
  <c r="K30" i="7"/>
  <c r="I39" i="7"/>
  <c r="H45" i="7"/>
  <c r="H43" i="7"/>
  <c r="K22" i="7"/>
  <c r="K20" i="7"/>
  <c r="K31" i="7"/>
  <c r="H48" i="7"/>
  <c r="H44" i="7"/>
  <c r="K21" i="7"/>
  <c r="G49" i="7"/>
  <c r="K26" i="7"/>
  <c r="H47" i="7"/>
  <c r="K29" i="7"/>
  <c r="K24" i="7"/>
  <c r="K9" i="8" s="1"/>
  <c r="H42" i="7"/>
  <c r="H39" i="8" s="1"/>
  <c r="K23" i="7"/>
  <c r="K8" i="8" s="1"/>
  <c r="H41" i="7"/>
  <c r="H38" i="8" s="1"/>
  <c r="I58" i="8" l="1"/>
  <c r="K28" i="8"/>
  <c r="H59" i="8"/>
  <c r="K29" i="8"/>
  <c r="I46" i="7"/>
  <c r="I45" i="8" s="1"/>
  <c r="I46" i="8" s="1"/>
  <c r="L28" i="7"/>
  <c r="L15" i="8" s="1"/>
  <c r="L16" i="8" s="1"/>
  <c r="I40" i="7"/>
  <c r="K33" i="7"/>
  <c r="K32" i="7"/>
  <c r="L30" i="7"/>
  <c r="L27" i="7"/>
  <c r="J39" i="7"/>
  <c r="I43" i="7"/>
  <c r="I44" i="7"/>
  <c r="I45" i="7"/>
  <c r="L21" i="7"/>
  <c r="L22" i="7"/>
  <c r="H49" i="7"/>
  <c r="L26" i="7"/>
  <c r="I48" i="7"/>
  <c r="L20" i="7"/>
  <c r="L31" i="7"/>
  <c r="L29" i="7"/>
  <c r="I47" i="7"/>
  <c r="L24" i="7"/>
  <c r="L9" i="8" s="1"/>
  <c r="L23" i="7"/>
  <c r="L8" i="8" s="1"/>
  <c r="I42" i="7"/>
  <c r="I39" i="8" s="1"/>
  <c r="I41" i="7"/>
  <c r="I38" i="8" s="1"/>
  <c r="L28" i="8" l="1"/>
  <c r="J58" i="8"/>
  <c r="J40" i="7"/>
  <c r="I59" i="8"/>
  <c r="L29" i="8"/>
  <c r="M28" i="7"/>
  <c r="M15" i="8" s="1"/>
  <c r="M16" i="8" s="1"/>
  <c r="J46" i="7"/>
  <c r="J45" i="8" s="1"/>
  <c r="J46" i="8" s="1"/>
  <c r="L33" i="7"/>
  <c r="L32" i="7"/>
  <c r="M27" i="7"/>
  <c r="M30" i="7"/>
  <c r="K39" i="7"/>
  <c r="M20" i="7"/>
  <c r="J45" i="7"/>
  <c r="M31" i="7"/>
  <c r="M22" i="7"/>
  <c r="M26" i="7"/>
  <c r="I49" i="7"/>
  <c r="J44" i="7"/>
  <c r="J48" i="7"/>
  <c r="J43" i="7"/>
  <c r="M21" i="7"/>
  <c r="J47" i="7"/>
  <c r="M29" i="7"/>
  <c r="M23" i="7"/>
  <c r="M8" i="8" s="1"/>
  <c r="M24" i="7"/>
  <c r="M9" i="8" s="1"/>
  <c r="J42" i="7"/>
  <c r="J39" i="8" s="1"/>
  <c r="J41" i="7"/>
  <c r="J38" i="8" s="1"/>
  <c r="E38" i="7"/>
  <c r="F15" i="7"/>
  <c r="E15" i="7"/>
  <c r="D15" i="7"/>
  <c r="C15" i="7"/>
  <c r="B15" i="7"/>
  <c r="J59" i="8" l="1"/>
  <c r="M28" i="8"/>
  <c r="K58" i="8"/>
  <c r="K40" i="7"/>
  <c r="L40" i="7" s="1"/>
  <c r="M29" i="8"/>
  <c r="K46" i="7"/>
  <c r="K45" i="8" s="1"/>
  <c r="K46" i="8" s="1"/>
  <c r="N28" i="7"/>
  <c r="N15" i="8" s="1"/>
  <c r="N16" i="8" s="1"/>
  <c r="E50" i="7"/>
  <c r="E51" i="7"/>
  <c r="M33" i="7"/>
  <c r="M32" i="7"/>
  <c r="N30" i="7"/>
  <c r="N27" i="7"/>
  <c r="L39" i="7"/>
  <c r="N22" i="7"/>
  <c r="N20" i="7"/>
  <c r="K44" i="7"/>
  <c r="N26" i="7"/>
  <c r="N31" i="7"/>
  <c r="K45" i="7"/>
  <c r="N21" i="7"/>
  <c r="K43" i="7"/>
  <c r="K48" i="7"/>
  <c r="J49" i="7"/>
  <c r="N29" i="7"/>
  <c r="K47" i="7"/>
  <c r="N24" i="7"/>
  <c r="N9" i="8" s="1"/>
  <c r="N23" i="7"/>
  <c r="N8" i="8" s="1"/>
  <c r="K42" i="7"/>
  <c r="K39" i="8" s="1"/>
  <c r="K41" i="7"/>
  <c r="K38" i="8" s="1"/>
  <c r="F38" i="7"/>
  <c r="L58" i="8" l="1"/>
  <c r="N28" i="8"/>
  <c r="L59" i="8"/>
  <c r="K59" i="8"/>
  <c r="N29" i="8"/>
  <c r="O28" i="7"/>
  <c r="O15" i="8" s="1"/>
  <c r="O16" i="8" s="1"/>
  <c r="L46" i="7"/>
  <c r="L45" i="8" s="1"/>
  <c r="L46" i="8" s="1"/>
  <c r="N33" i="7"/>
  <c r="N32" i="7"/>
  <c r="F50" i="7"/>
  <c r="F51" i="7"/>
  <c r="O27" i="7"/>
  <c r="O30" i="7"/>
  <c r="M39" i="7"/>
  <c r="O21" i="7"/>
  <c r="K49" i="7"/>
  <c r="O22" i="7"/>
  <c r="M40" i="7"/>
  <c r="L43" i="7"/>
  <c r="O31" i="7"/>
  <c r="O26" i="7"/>
  <c r="L48" i="7"/>
  <c r="L44" i="7"/>
  <c r="L45" i="7"/>
  <c r="O20" i="7"/>
  <c r="O29" i="7"/>
  <c r="L47" i="7"/>
  <c r="O23" i="7"/>
  <c r="O8" i="8" s="1"/>
  <c r="O24" i="7"/>
  <c r="O9" i="8" s="1"/>
  <c r="L42" i="7"/>
  <c r="L39" i="8" s="1"/>
  <c r="L41" i="7"/>
  <c r="L38" i="8" s="1"/>
  <c r="G38" i="7"/>
  <c r="L10" i="6"/>
  <c r="L12" i="6" s="1"/>
  <c r="F10" i="6"/>
  <c r="M59" i="8" l="1"/>
  <c r="O29" i="8"/>
  <c r="O28" i="8"/>
  <c r="M58" i="8"/>
  <c r="M46" i="7"/>
  <c r="M45" i="8" s="1"/>
  <c r="M46" i="8" s="1"/>
  <c r="P28" i="7"/>
  <c r="P15" i="8" s="1"/>
  <c r="P16" i="8" s="1"/>
  <c r="I19" i="6"/>
  <c r="I20" i="6" s="1"/>
  <c r="I21" i="6" s="1"/>
  <c r="I22" i="6" s="1"/>
  <c r="P11" i="9" s="1"/>
  <c r="P12" i="9" s="1"/>
  <c r="I25" i="6"/>
  <c r="I26" i="6" s="1"/>
  <c r="I27" i="6" s="1"/>
  <c r="I28" i="6" s="1"/>
  <c r="I13" i="6"/>
  <c r="I14" i="6" s="1"/>
  <c r="F12" i="6"/>
  <c r="L13" i="6"/>
  <c r="L14" i="6" s="1"/>
  <c r="L15" i="6" s="1"/>
  <c r="O33" i="7"/>
  <c r="O32" i="7"/>
  <c r="G51" i="7"/>
  <c r="G50" i="7"/>
  <c r="P30" i="7"/>
  <c r="P27" i="7"/>
  <c r="N39" i="7"/>
  <c r="M44" i="7"/>
  <c r="M43" i="7"/>
  <c r="N40" i="7"/>
  <c r="P26" i="7"/>
  <c r="L49" i="7"/>
  <c r="M45" i="7"/>
  <c r="M48" i="7"/>
  <c r="P31" i="7"/>
  <c r="P22" i="7"/>
  <c r="P20" i="7"/>
  <c r="P21" i="7"/>
  <c r="P29" i="7"/>
  <c r="M47" i="7"/>
  <c r="M42" i="7"/>
  <c r="M39" i="8" s="1"/>
  <c r="P24" i="7"/>
  <c r="P9" i="8" s="1"/>
  <c r="M41" i="7"/>
  <c r="M38" i="8" s="1"/>
  <c r="P23" i="7"/>
  <c r="P8" i="8" s="1"/>
  <c r="H38" i="7"/>
  <c r="C10" i="6"/>
  <c r="H14" i="4"/>
  <c r="E27" i="8" l="1"/>
  <c r="E30" i="8" s="1"/>
  <c r="E74" i="8" s="1"/>
  <c r="F27" i="8"/>
  <c r="F30" i="8" s="1"/>
  <c r="F74" i="8" s="1"/>
  <c r="B27" i="8"/>
  <c r="B30" i="8" s="1"/>
  <c r="B74" i="8" s="1"/>
  <c r="C27" i="8"/>
  <c r="C30" i="8" s="1"/>
  <c r="C74" i="8" s="1"/>
  <c r="D27" i="8"/>
  <c r="D30" i="8" s="1"/>
  <c r="D74" i="8" s="1"/>
  <c r="D57" i="8"/>
  <c r="D60" i="8" s="1"/>
  <c r="D76" i="8" s="1"/>
  <c r="G27" i="8"/>
  <c r="G30" i="8" s="1"/>
  <c r="G75" i="8" s="1"/>
  <c r="H27" i="8"/>
  <c r="H30" i="8" s="1"/>
  <c r="H75" i="8" s="1"/>
  <c r="I27" i="8"/>
  <c r="I30" i="8" s="1"/>
  <c r="I75" i="8" s="1"/>
  <c r="J27" i="8"/>
  <c r="J30" i="8" s="1"/>
  <c r="J75" i="8" s="1"/>
  <c r="K27" i="8"/>
  <c r="K30" i="8" s="1"/>
  <c r="K75" i="8" s="1"/>
  <c r="L27" i="8"/>
  <c r="L30" i="8" s="1"/>
  <c r="L75" i="8" s="1"/>
  <c r="E57" i="8"/>
  <c r="E60" i="8" s="1"/>
  <c r="E76" i="8" s="1"/>
  <c r="M27" i="8"/>
  <c r="M30" i="8" s="1"/>
  <c r="M75" i="8" s="1"/>
  <c r="F57" i="8"/>
  <c r="F60" i="8" s="1"/>
  <c r="F76" i="8" s="1"/>
  <c r="N27" i="8"/>
  <c r="N30" i="8" s="1"/>
  <c r="N75" i="8" s="1"/>
  <c r="G57" i="8"/>
  <c r="G60" i="8" s="1"/>
  <c r="G76" i="8" s="1"/>
  <c r="O27" i="8"/>
  <c r="O30" i="8" s="1"/>
  <c r="O75" i="8" s="1"/>
  <c r="N59" i="8"/>
  <c r="P27" i="8"/>
  <c r="N58" i="8"/>
  <c r="H57" i="8"/>
  <c r="H60" i="8" s="1"/>
  <c r="H76" i="8" s="1"/>
  <c r="P28" i="8"/>
  <c r="P29" i="8"/>
  <c r="F39" i="9"/>
  <c r="N39" i="9"/>
  <c r="L8" i="9"/>
  <c r="F8" i="9"/>
  <c r="H39" i="9"/>
  <c r="D8" i="9"/>
  <c r="D39" i="9" s="1"/>
  <c r="C8" i="9"/>
  <c r="C39" i="9" s="1"/>
  <c r="M39" i="9"/>
  <c r="G39" i="9"/>
  <c r="M8" i="9"/>
  <c r="G8" i="9"/>
  <c r="N8" i="9"/>
  <c r="I39" i="9"/>
  <c r="O8" i="9"/>
  <c r="K8" i="9"/>
  <c r="J39" i="9"/>
  <c r="E39" i="9"/>
  <c r="P8" i="9"/>
  <c r="J8" i="9"/>
  <c r="H8" i="9"/>
  <c r="K39" i="9"/>
  <c r="I8" i="9"/>
  <c r="Q8" i="9"/>
  <c r="L39" i="9"/>
  <c r="E8" i="9"/>
  <c r="M42" i="9"/>
  <c r="M43" i="9" s="1"/>
  <c r="Q11" i="9"/>
  <c r="Q12" i="9" s="1"/>
  <c r="H12" i="11"/>
  <c r="J6" i="11"/>
  <c r="K6" i="11"/>
  <c r="K5" i="11"/>
  <c r="D5" i="11"/>
  <c r="E5" i="11"/>
  <c r="F5" i="11"/>
  <c r="J11" i="11"/>
  <c r="E12" i="11"/>
  <c r="I5" i="11"/>
  <c r="J5" i="11"/>
  <c r="H5" i="11"/>
  <c r="P6" i="11"/>
  <c r="O5" i="11"/>
  <c r="G12" i="11"/>
  <c r="I11" i="11"/>
  <c r="L11" i="11"/>
  <c r="Q5" i="11"/>
  <c r="H6" i="11"/>
  <c r="E11" i="11"/>
  <c r="P5" i="11"/>
  <c r="F12" i="11"/>
  <c r="C5" i="11"/>
  <c r="Q6" i="11"/>
  <c r="K12" i="11"/>
  <c r="G11" i="11"/>
  <c r="I6" i="11"/>
  <c r="K11" i="11"/>
  <c r="L12" i="11"/>
  <c r="M12" i="11"/>
  <c r="N12" i="11"/>
  <c r="G5" i="11"/>
  <c r="H11" i="11"/>
  <c r="J12" i="11"/>
  <c r="F11" i="11"/>
  <c r="M6" i="11"/>
  <c r="N6" i="11"/>
  <c r="O6" i="11"/>
  <c r="M11" i="11"/>
  <c r="N11" i="11"/>
  <c r="L6" i="11"/>
  <c r="L5" i="11"/>
  <c r="M5" i="11"/>
  <c r="N5" i="11"/>
  <c r="I12" i="11"/>
  <c r="C12" i="6"/>
  <c r="C13" i="6"/>
  <c r="G11" i="9"/>
  <c r="G12" i="9" s="1"/>
  <c r="E11" i="9"/>
  <c r="E12" i="9" s="1"/>
  <c r="C11" i="9"/>
  <c r="C12" i="9" s="1"/>
  <c r="C43" i="9" s="1"/>
  <c r="F11" i="9"/>
  <c r="F12" i="9" s="1"/>
  <c r="D11" i="9"/>
  <c r="D12" i="9" s="1"/>
  <c r="D43" i="9" s="1"/>
  <c r="E42" i="9"/>
  <c r="E43" i="9" s="1"/>
  <c r="H11" i="9"/>
  <c r="H12" i="9" s="1"/>
  <c r="I11" i="9"/>
  <c r="I12" i="9" s="1"/>
  <c r="F42" i="9"/>
  <c r="F43" i="9" s="1"/>
  <c r="G42" i="9"/>
  <c r="G43" i="9" s="1"/>
  <c r="J11" i="9"/>
  <c r="J12" i="9" s="1"/>
  <c r="H42" i="9"/>
  <c r="H43" i="9" s="1"/>
  <c r="K11" i="9"/>
  <c r="K12" i="9" s="1"/>
  <c r="I42" i="9"/>
  <c r="I43" i="9" s="1"/>
  <c r="L11" i="9"/>
  <c r="L12" i="9" s="1"/>
  <c r="M11" i="9"/>
  <c r="M12" i="9" s="1"/>
  <c r="J42" i="9"/>
  <c r="J43" i="9" s="1"/>
  <c r="K42" i="9"/>
  <c r="K43" i="9" s="1"/>
  <c r="N11" i="9"/>
  <c r="N12" i="9" s="1"/>
  <c r="L42" i="9"/>
  <c r="L43" i="9" s="1"/>
  <c r="O11" i="9"/>
  <c r="O12" i="9" s="1"/>
  <c r="F13" i="6"/>
  <c r="F14" i="6" s="1"/>
  <c r="F15" i="6" s="1"/>
  <c r="N42" i="9"/>
  <c r="N43" i="9" s="1"/>
  <c r="N46" i="7"/>
  <c r="N45" i="8" s="1"/>
  <c r="N46" i="8" s="1"/>
  <c r="P7" i="9"/>
  <c r="I15" i="6"/>
  <c r="I16" i="6" s="1"/>
  <c r="N44" i="9"/>
  <c r="O38" i="9"/>
  <c r="N41" i="9"/>
  <c r="N45" i="9"/>
  <c r="Q13" i="9"/>
  <c r="Q7" i="9"/>
  <c r="P10" i="9"/>
  <c r="N40" i="9"/>
  <c r="Q15" i="9"/>
  <c r="Q9" i="9"/>
  <c r="L46" i="9"/>
  <c r="P9" i="9"/>
  <c r="P15" i="9"/>
  <c r="D13" i="9"/>
  <c r="D44" i="9" s="1"/>
  <c r="E13" i="9"/>
  <c r="E14" i="9"/>
  <c r="D7" i="9"/>
  <c r="F7" i="9"/>
  <c r="F14" i="9"/>
  <c r="E9" i="9"/>
  <c r="C14" i="9"/>
  <c r="C45" i="9" s="1"/>
  <c r="G7" i="9"/>
  <c r="C7" i="9"/>
  <c r="F13" i="9"/>
  <c r="D9" i="9"/>
  <c r="D40" i="9" s="1"/>
  <c r="D14" i="9"/>
  <c r="D45" i="9" s="1"/>
  <c r="C13" i="9"/>
  <c r="C44" i="9" s="1"/>
  <c r="G9" i="9"/>
  <c r="G13" i="9"/>
  <c r="E7" i="9"/>
  <c r="F9" i="9"/>
  <c r="C9" i="9"/>
  <c r="C40" i="9" s="1"/>
  <c r="G14" i="9"/>
  <c r="H15" i="9"/>
  <c r="E38" i="9"/>
  <c r="E40" i="9"/>
  <c r="E46" i="9"/>
  <c r="H7" i="9"/>
  <c r="H13" i="9"/>
  <c r="H14" i="9"/>
  <c r="E44" i="9"/>
  <c r="H10" i="9"/>
  <c r="H9" i="9"/>
  <c r="E41" i="9"/>
  <c r="E45" i="9"/>
  <c r="F44" i="9"/>
  <c r="I14" i="9"/>
  <c r="I15" i="9"/>
  <c r="F45" i="9"/>
  <c r="I7" i="9"/>
  <c r="I9" i="9"/>
  <c r="F40" i="9"/>
  <c r="I13" i="9"/>
  <c r="F41" i="9"/>
  <c r="I10" i="9"/>
  <c r="F38" i="9"/>
  <c r="J7" i="9"/>
  <c r="G45" i="9"/>
  <c r="J13" i="9"/>
  <c r="J10" i="9"/>
  <c r="F46" i="9"/>
  <c r="G41" i="9"/>
  <c r="J9" i="9"/>
  <c r="J15" i="9"/>
  <c r="G44" i="9"/>
  <c r="J14" i="9"/>
  <c r="G40" i="9"/>
  <c r="G38" i="9"/>
  <c r="K9" i="9"/>
  <c r="H41" i="9"/>
  <c r="K14" i="9"/>
  <c r="K10" i="9"/>
  <c r="K15" i="9"/>
  <c r="H38" i="9"/>
  <c r="H44" i="9"/>
  <c r="H45" i="9"/>
  <c r="K13" i="9"/>
  <c r="K7" i="9"/>
  <c r="G46" i="9"/>
  <c r="H40" i="9"/>
  <c r="I40" i="9"/>
  <c r="I38" i="9"/>
  <c r="I45" i="9"/>
  <c r="L15" i="9"/>
  <c r="I41" i="9"/>
  <c r="L14" i="9"/>
  <c r="L13" i="9"/>
  <c r="L9" i="9"/>
  <c r="I44" i="9"/>
  <c r="H46" i="9"/>
  <c r="L7" i="9"/>
  <c r="L10" i="9"/>
  <c r="M15" i="9"/>
  <c r="I46" i="9"/>
  <c r="J44" i="9"/>
  <c r="M13" i="9"/>
  <c r="J45" i="9"/>
  <c r="M10" i="9"/>
  <c r="M7" i="9"/>
  <c r="M9" i="9"/>
  <c r="J41" i="9"/>
  <c r="J40" i="9"/>
  <c r="J38" i="9"/>
  <c r="M14" i="9"/>
  <c r="K38" i="9"/>
  <c r="K45" i="9"/>
  <c r="K44" i="9"/>
  <c r="N10" i="9"/>
  <c r="L38" i="9"/>
  <c r="K40" i="9"/>
  <c r="N15" i="9"/>
  <c r="K41" i="9"/>
  <c r="N14" i="9"/>
  <c r="N9" i="9"/>
  <c r="N13" i="9"/>
  <c r="J46" i="9"/>
  <c r="N7" i="9"/>
  <c r="L45" i="9"/>
  <c r="M38" i="9"/>
  <c r="O9" i="9"/>
  <c r="L41" i="9"/>
  <c r="O14" i="9"/>
  <c r="L40" i="9"/>
  <c r="O10" i="9"/>
  <c r="K46" i="9"/>
  <c r="O13" i="9"/>
  <c r="O7" i="9"/>
  <c r="L44" i="9"/>
  <c r="O15" i="9"/>
  <c r="M40" i="9"/>
  <c r="M45" i="9"/>
  <c r="P13" i="9"/>
  <c r="P14" i="9"/>
  <c r="M44" i="9"/>
  <c r="M41" i="9"/>
  <c r="N38" i="9"/>
  <c r="P33" i="7"/>
  <c r="P32" i="7"/>
  <c r="H51" i="7"/>
  <c r="H50" i="7"/>
  <c r="Q10" i="9"/>
  <c r="M46" i="9"/>
  <c r="Q14" i="9"/>
  <c r="O39" i="7"/>
  <c r="N44" i="7"/>
  <c r="M49" i="7"/>
  <c r="N43" i="7"/>
  <c r="O39" i="9" s="1"/>
  <c r="N45" i="7"/>
  <c r="O40" i="7"/>
  <c r="N48" i="7"/>
  <c r="N47" i="7"/>
  <c r="O44" i="9" s="1"/>
  <c r="N41" i="7"/>
  <c r="N38" i="8" s="1"/>
  <c r="N42" i="7"/>
  <c r="N39" i="8" s="1"/>
  <c r="I38" i="7"/>
  <c r="C14" i="6"/>
  <c r="C15" i="6" s="1"/>
  <c r="N17" i="11" l="1"/>
  <c r="P38" i="9"/>
  <c r="O59" i="8"/>
  <c r="O12" i="11"/>
  <c r="O41" i="9"/>
  <c r="I57" i="8"/>
  <c r="I60" i="8" s="1"/>
  <c r="I76" i="8" s="1"/>
  <c r="P30" i="8"/>
  <c r="P75" i="8" s="1"/>
  <c r="O11" i="11"/>
  <c r="O40" i="9"/>
  <c r="O58" i="8"/>
  <c r="O45" i="9"/>
  <c r="M37" i="9"/>
  <c r="E37" i="9"/>
  <c r="P6" i="9"/>
  <c r="J6" i="9"/>
  <c r="N37" i="9"/>
  <c r="I6" i="9"/>
  <c r="Q6" i="9"/>
  <c r="H6" i="9"/>
  <c r="O37" i="9"/>
  <c r="P37" i="9"/>
  <c r="K6" i="9"/>
  <c r="D6" i="9"/>
  <c r="D37" i="9" s="1"/>
  <c r="C6" i="9"/>
  <c r="C37" i="9" s="1"/>
  <c r="I37" i="9"/>
  <c r="L6" i="9"/>
  <c r="E6" i="9"/>
  <c r="H37" i="9"/>
  <c r="J37" i="9"/>
  <c r="F37" i="9"/>
  <c r="M6" i="9"/>
  <c r="F6" i="9"/>
  <c r="O6" i="9"/>
  <c r="K37" i="9"/>
  <c r="G37" i="9"/>
  <c r="N6" i="9"/>
  <c r="G6" i="9"/>
  <c r="L37" i="9"/>
  <c r="B57" i="8"/>
  <c r="B60" i="8" s="1"/>
  <c r="C57" i="8"/>
  <c r="C60" i="8" s="1"/>
  <c r="C42" i="9"/>
  <c r="C17" i="9"/>
  <c r="B86" i="9" s="1"/>
  <c r="D42" i="9"/>
  <c r="D17" i="9"/>
  <c r="C86" i="9" s="1"/>
  <c r="O42" i="9"/>
  <c r="O43" i="9" s="1"/>
  <c r="J18" i="11"/>
  <c r="L18" i="11"/>
  <c r="M18" i="11"/>
  <c r="L17" i="11"/>
  <c r="K18" i="11"/>
  <c r="O17" i="11"/>
  <c r="N18" i="11"/>
  <c r="G18" i="11"/>
  <c r="I18" i="11"/>
  <c r="M17" i="11"/>
  <c r="P17" i="11"/>
  <c r="P18" i="11"/>
  <c r="O18" i="11"/>
  <c r="H18" i="11"/>
  <c r="D20" i="11"/>
  <c r="H20" i="11"/>
  <c r="G19" i="11"/>
  <c r="K19" i="11"/>
  <c r="H19" i="11"/>
  <c r="F19" i="11"/>
  <c r="J19" i="11"/>
  <c r="L20" i="11"/>
  <c r="L19" i="11"/>
  <c r="E20" i="11"/>
  <c r="J20" i="11"/>
  <c r="F20" i="11"/>
  <c r="G20" i="11"/>
  <c r="M19" i="11"/>
  <c r="I19" i="11"/>
  <c r="I20" i="11"/>
  <c r="K20" i="11"/>
  <c r="D19" i="11"/>
  <c r="M20" i="11"/>
  <c r="E19" i="11"/>
  <c r="C11" i="11"/>
  <c r="G17" i="11"/>
  <c r="I17" i="11"/>
  <c r="K17" i="11"/>
  <c r="C16" i="11"/>
  <c r="D16" i="11"/>
  <c r="H17" i="11"/>
  <c r="E16" i="11"/>
  <c r="F16" i="11"/>
  <c r="J17" i="11"/>
  <c r="O46" i="7"/>
  <c r="O45" i="8" s="1"/>
  <c r="O46" i="8" s="1"/>
  <c r="N17" i="9"/>
  <c r="N27" i="9" s="1"/>
  <c r="L49" i="9"/>
  <c r="L59" i="9" s="1"/>
  <c r="N48" i="9"/>
  <c r="N58" i="9" s="1"/>
  <c r="K48" i="9"/>
  <c r="K58" i="9" s="1"/>
  <c r="Q17" i="9"/>
  <c r="Q27" i="9" s="1"/>
  <c r="G49" i="9"/>
  <c r="G59" i="9" s="1"/>
  <c r="J17" i="9"/>
  <c r="J27" i="9" s="1"/>
  <c r="H49" i="9"/>
  <c r="H59" i="9" s="1"/>
  <c r="H17" i="9"/>
  <c r="H27" i="9" s="1"/>
  <c r="I17" i="9"/>
  <c r="I27" i="9" s="1"/>
  <c r="M17" i="9"/>
  <c r="M27" i="9" s="1"/>
  <c r="L18" i="9"/>
  <c r="L28" i="9" s="1"/>
  <c r="E48" i="9"/>
  <c r="E58" i="9" s="1"/>
  <c r="Q18" i="9"/>
  <c r="Q28" i="9" s="1"/>
  <c r="M18" i="9"/>
  <c r="M28" i="9" s="1"/>
  <c r="E49" i="9"/>
  <c r="E59" i="9" s="1"/>
  <c r="I49" i="9"/>
  <c r="I59" i="9" s="1"/>
  <c r="I48" i="9"/>
  <c r="I58" i="9" s="1"/>
  <c r="H48" i="9"/>
  <c r="H58" i="9" s="1"/>
  <c r="I18" i="9"/>
  <c r="I28" i="9" s="1"/>
  <c r="M49" i="9"/>
  <c r="M59" i="9" s="1"/>
  <c r="J48" i="9"/>
  <c r="J58" i="9" s="1"/>
  <c r="K49" i="9"/>
  <c r="K59" i="9" s="1"/>
  <c r="P17" i="9"/>
  <c r="P27" i="9" s="1"/>
  <c r="G48" i="9"/>
  <c r="G58" i="9" s="1"/>
  <c r="O17" i="9"/>
  <c r="O27" i="9" s="1"/>
  <c r="F49" i="9"/>
  <c r="F59" i="9" s="1"/>
  <c r="L17" i="9"/>
  <c r="L27" i="9" s="1"/>
  <c r="H18" i="9"/>
  <c r="H28" i="9" s="1"/>
  <c r="O18" i="9"/>
  <c r="O28" i="9" s="1"/>
  <c r="M48" i="9"/>
  <c r="M58" i="9" s="1"/>
  <c r="J49" i="9"/>
  <c r="J59" i="9" s="1"/>
  <c r="J18" i="9"/>
  <c r="J28" i="9" s="1"/>
  <c r="L48" i="9"/>
  <c r="L58" i="9" s="1"/>
  <c r="F48" i="9"/>
  <c r="F58" i="9" s="1"/>
  <c r="K17" i="9"/>
  <c r="K27" i="9" s="1"/>
  <c r="N18" i="9"/>
  <c r="N28" i="9" s="1"/>
  <c r="K18" i="9"/>
  <c r="K28" i="9" s="1"/>
  <c r="P18" i="9"/>
  <c r="P28" i="9" s="1"/>
  <c r="M5" i="9"/>
  <c r="P5" i="9"/>
  <c r="Q5" i="9"/>
  <c r="O5" i="9"/>
  <c r="J5" i="9"/>
  <c r="N5" i="9"/>
  <c r="D5" i="9"/>
  <c r="D36" i="9" s="1"/>
  <c r="F5" i="9"/>
  <c r="I36" i="9"/>
  <c r="I5" i="9"/>
  <c r="L5" i="9"/>
  <c r="F36" i="9"/>
  <c r="E36" i="9"/>
  <c r="H36" i="9"/>
  <c r="E5" i="9"/>
  <c r="K5" i="9"/>
  <c r="G36" i="9"/>
  <c r="C5" i="9"/>
  <c r="C36" i="9" s="1"/>
  <c r="H5" i="9"/>
  <c r="G5" i="9"/>
  <c r="D11" i="11"/>
  <c r="B16" i="11"/>
  <c r="D38" i="9"/>
  <c r="C38" i="9"/>
  <c r="E17" i="9"/>
  <c r="D86" i="9" s="1"/>
  <c r="G17" i="9"/>
  <c r="F86" i="9" s="1"/>
  <c r="C38" i="8"/>
  <c r="B38" i="8"/>
  <c r="F17" i="9"/>
  <c r="E86" i="9" s="1"/>
  <c r="I51" i="7"/>
  <c r="I50" i="7"/>
  <c r="N46" i="9"/>
  <c r="N49" i="9" s="1"/>
  <c r="N59" i="9" s="1"/>
  <c r="P39" i="7"/>
  <c r="J36" i="9"/>
  <c r="O44" i="7"/>
  <c r="O48" i="7"/>
  <c r="O45" i="7"/>
  <c r="P40" i="7"/>
  <c r="N49" i="7"/>
  <c r="O43" i="7"/>
  <c r="P39" i="9" s="1"/>
  <c r="O47" i="7"/>
  <c r="P44" i="9" s="1"/>
  <c r="O42" i="7"/>
  <c r="O41" i="7"/>
  <c r="J38" i="7"/>
  <c r="D14" i="4"/>
  <c r="I35" i="8" s="1"/>
  <c r="D13" i="4"/>
  <c r="P10" i="8" s="1"/>
  <c r="D12" i="4"/>
  <c r="N44" i="8" s="1"/>
  <c r="D11" i="4"/>
  <c r="N42" i="8" s="1"/>
  <c r="D10" i="4"/>
  <c r="D8" i="4"/>
  <c r="F47" i="8" s="1"/>
  <c r="D7" i="4"/>
  <c r="O36" i="8" s="1"/>
  <c r="D6" i="4"/>
  <c r="M51" i="8" s="1"/>
  <c r="D5" i="4"/>
  <c r="F27" i="9" l="1"/>
  <c r="C27" i="9"/>
  <c r="G27" i="9"/>
  <c r="F65" i="9" s="1"/>
  <c r="E27" i="9"/>
  <c r="D27" i="9"/>
  <c r="C65" i="9" s="1"/>
  <c r="F20" i="8"/>
  <c r="B20" i="8"/>
  <c r="B50" i="8" s="1"/>
  <c r="D20" i="8"/>
  <c r="E20" i="8"/>
  <c r="C20" i="8"/>
  <c r="C50" i="8" s="1"/>
  <c r="D50" i="8"/>
  <c r="D51" i="8"/>
  <c r="G21" i="8"/>
  <c r="G20" i="8"/>
  <c r="H21" i="8"/>
  <c r="E50" i="8"/>
  <c r="H20" i="8"/>
  <c r="I20" i="8"/>
  <c r="E51" i="8"/>
  <c r="I21" i="8"/>
  <c r="F50" i="8"/>
  <c r="G50" i="8"/>
  <c r="J21" i="8"/>
  <c r="J20" i="8"/>
  <c r="F51" i="8"/>
  <c r="K20" i="8"/>
  <c r="G51" i="8"/>
  <c r="H50" i="8"/>
  <c r="K21" i="8"/>
  <c r="H51" i="8"/>
  <c r="I50" i="8"/>
  <c r="L21" i="8"/>
  <c r="L20" i="8"/>
  <c r="J50" i="8"/>
  <c r="M20" i="8"/>
  <c r="I51" i="8"/>
  <c r="M21" i="8"/>
  <c r="N21" i="8"/>
  <c r="J51" i="8"/>
  <c r="K50" i="8"/>
  <c r="N20" i="8"/>
  <c r="O21" i="8"/>
  <c r="O20" i="8"/>
  <c r="L50" i="8"/>
  <c r="K51" i="8"/>
  <c r="P21" i="8"/>
  <c r="M50" i="8"/>
  <c r="L51" i="8"/>
  <c r="P20" i="8"/>
  <c r="N41" i="8"/>
  <c r="F13" i="8"/>
  <c r="B13" i="8"/>
  <c r="B43" i="8" s="1"/>
  <c r="D13" i="8"/>
  <c r="C13" i="8"/>
  <c r="C43" i="8" s="1"/>
  <c r="E13" i="8"/>
  <c r="G13" i="8"/>
  <c r="D43" i="8"/>
  <c r="G14" i="8"/>
  <c r="D44" i="8"/>
  <c r="H13" i="8"/>
  <c r="E44" i="8"/>
  <c r="H14" i="8"/>
  <c r="E43" i="8"/>
  <c r="F43" i="8"/>
  <c r="I13" i="8"/>
  <c r="F44" i="8"/>
  <c r="I14" i="8"/>
  <c r="G43" i="8"/>
  <c r="J14" i="8"/>
  <c r="J13" i="8"/>
  <c r="G44" i="8"/>
  <c r="K14" i="8"/>
  <c r="H44" i="8"/>
  <c r="K13" i="8"/>
  <c r="H43" i="8"/>
  <c r="I44" i="8"/>
  <c r="L14" i="8"/>
  <c r="I43" i="8"/>
  <c r="L13" i="8"/>
  <c r="J43" i="8"/>
  <c r="M13" i="8"/>
  <c r="J44" i="8"/>
  <c r="M14" i="8"/>
  <c r="N13" i="8"/>
  <c r="K43" i="8"/>
  <c r="K44" i="8"/>
  <c r="N14" i="8"/>
  <c r="L43" i="8"/>
  <c r="O13" i="8"/>
  <c r="O14" i="8"/>
  <c r="L44" i="8"/>
  <c r="P14" i="8"/>
  <c r="P13" i="8"/>
  <c r="M44" i="8"/>
  <c r="M43" i="8"/>
  <c r="E18" i="8"/>
  <c r="F18" i="8"/>
  <c r="C18" i="8"/>
  <c r="C48" i="8" s="1"/>
  <c r="B18" i="8"/>
  <c r="B48" i="8" s="1"/>
  <c r="D18" i="8"/>
  <c r="D48" i="8"/>
  <c r="G18" i="8"/>
  <c r="G19" i="8"/>
  <c r="D49" i="8"/>
  <c r="H19" i="8"/>
  <c r="E48" i="8"/>
  <c r="H18" i="8"/>
  <c r="I18" i="8"/>
  <c r="E49" i="8"/>
  <c r="I19" i="8"/>
  <c r="F48" i="8"/>
  <c r="F49" i="8"/>
  <c r="J18" i="8"/>
  <c r="J19" i="8"/>
  <c r="G48" i="8"/>
  <c r="K18" i="8"/>
  <c r="G49" i="8"/>
  <c r="K19" i="8"/>
  <c r="H48" i="8"/>
  <c r="L19" i="8"/>
  <c r="H49" i="8"/>
  <c r="I48" i="8"/>
  <c r="L18" i="8"/>
  <c r="I49" i="8"/>
  <c r="M18" i="8"/>
  <c r="J48" i="8"/>
  <c r="M19" i="8"/>
  <c r="J49" i="8"/>
  <c r="N19" i="8"/>
  <c r="K48" i="8"/>
  <c r="N18" i="8"/>
  <c r="L48" i="8"/>
  <c r="K49" i="8"/>
  <c r="O18" i="8"/>
  <c r="O19" i="8"/>
  <c r="P19" i="8"/>
  <c r="M48" i="8"/>
  <c r="P18" i="8"/>
  <c r="L49" i="8"/>
  <c r="N43" i="8"/>
  <c r="C6" i="8"/>
  <c r="C36" i="8" s="1"/>
  <c r="D6" i="8"/>
  <c r="B6" i="8"/>
  <c r="B36" i="8" s="1"/>
  <c r="E6" i="8"/>
  <c r="F6" i="8"/>
  <c r="D36" i="8"/>
  <c r="G6" i="8"/>
  <c r="E36" i="8"/>
  <c r="H6" i="8"/>
  <c r="I6" i="8"/>
  <c r="F36" i="8"/>
  <c r="J6" i="8"/>
  <c r="H36" i="8"/>
  <c r="G36" i="8"/>
  <c r="K6" i="8"/>
  <c r="I36" i="8"/>
  <c r="L6" i="8"/>
  <c r="J36" i="8"/>
  <c r="M6" i="8"/>
  <c r="K36" i="8"/>
  <c r="L36" i="8"/>
  <c r="N6" i="8"/>
  <c r="M36" i="8"/>
  <c r="O6" i="8"/>
  <c r="N36" i="8"/>
  <c r="P6" i="8"/>
  <c r="N50" i="8"/>
  <c r="F5" i="8"/>
  <c r="D5" i="8"/>
  <c r="B5" i="8"/>
  <c r="B35" i="8" s="1"/>
  <c r="C5" i="8"/>
  <c r="C35" i="8" s="1"/>
  <c r="E5" i="8"/>
  <c r="D35" i="8"/>
  <c r="G5" i="8"/>
  <c r="H5" i="8"/>
  <c r="I5" i="8"/>
  <c r="J5" i="8"/>
  <c r="K5" i="8"/>
  <c r="L5" i="8"/>
  <c r="E35" i="8"/>
  <c r="M5" i="8"/>
  <c r="F35" i="8"/>
  <c r="N5" i="8"/>
  <c r="O5" i="8"/>
  <c r="G35" i="8"/>
  <c r="H35" i="8"/>
  <c r="P5" i="8"/>
  <c r="C7" i="8"/>
  <c r="C37" i="8" s="1"/>
  <c r="B7" i="8"/>
  <c r="B37" i="8" s="1"/>
  <c r="D7" i="8"/>
  <c r="F7" i="8"/>
  <c r="E7" i="8"/>
  <c r="G7" i="8"/>
  <c r="D37" i="8"/>
  <c r="E37" i="8"/>
  <c r="H7" i="8"/>
  <c r="F37" i="8"/>
  <c r="I7" i="8"/>
  <c r="G37" i="8"/>
  <c r="J7" i="8"/>
  <c r="K7" i="8"/>
  <c r="H37" i="8"/>
  <c r="I37" i="8"/>
  <c r="L7" i="8"/>
  <c r="J37" i="8"/>
  <c r="M7" i="8"/>
  <c r="K37" i="8"/>
  <c r="N7" i="8"/>
  <c r="L37" i="8"/>
  <c r="O7" i="8"/>
  <c r="M37" i="8"/>
  <c r="N37" i="8"/>
  <c r="P7" i="8"/>
  <c r="N48" i="8"/>
  <c r="D11" i="8"/>
  <c r="E11" i="8"/>
  <c r="C11" i="8"/>
  <c r="C41" i="8" s="1"/>
  <c r="B11" i="8"/>
  <c r="B41" i="8" s="1"/>
  <c r="F11" i="8"/>
  <c r="G11" i="8"/>
  <c r="G12" i="8"/>
  <c r="D42" i="8"/>
  <c r="D41" i="8"/>
  <c r="H11" i="8"/>
  <c r="H12" i="8"/>
  <c r="E41" i="8"/>
  <c r="E42" i="8"/>
  <c r="F41" i="8"/>
  <c r="F42" i="8"/>
  <c r="I11" i="8"/>
  <c r="I12" i="8"/>
  <c r="J12" i="8"/>
  <c r="G42" i="8"/>
  <c r="G41" i="8"/>
  <c r="J11" i="8"/>
  <c r="K11" i="8"/>
  <c r="H42" i="8"/>
  <c r="H41" i="8"/>
  <c r="K12" i="8"/>
  <c r="L11" i="8"/>
  <c r="L12" i="8"/>
  <c r="I42" i="8"/>
  <c r="I41" i="8"/>
  <c r="J41" i="8"/>
  <c r="M11" i="8"/>
  <c r="J42" i="8"/>
  <c r="M12" i="8"/>
  <c r="N12" i="8"/>
  <c r="K42" i="8"/>
  <c r="K41" i="8"/>
  <c r="N11" i="8"/>
  <c r="O11" i="8"/>
  <c r="O12" i="8"/>
  <c r="L42" i="8"/>
  <c r="L41" i="8"/>
  <c r="P12" i="8"/>
  <c r="M41" i="8"/>
  <c r="P11" i="8"/>
  <c r="M42" i="8"/>
  <c r="M49" i="8"/>
  <c r="O37" i="8"/>
  <c r="I21" i="11"/>
  <c r="F91" i="9"/>
  <c r="F92" i="9"/>
  <c r="E93" i="9"/>
  <c r="E94" i="9"/>
  <c r="G93" i="9"/>
  <c r="L91" i="9"/>
  <c r="M93" i="9"/>
  <c r="K93" i="9"/>
  <c r="N91" i="9"/>
  <c r="H93" i="9"/>
  <c r="H91" i="9"/>
  <c r="K94" i="9"/>
  <c r="I92" i="9"/>
  <c r="F93" i="9"/>
  <c r="H94" i="9"/>
  <c r="G91" i="9"/>
  <c r="M91" i="9"/>
  <c r="I94" i="9"/>
  <c r="O91" i="9"/>
  <c r="D94" i="9"/>
  <c r="G94" i="9"/>
  <c r="M94" i="9"/>
  <c r="O92" i="9"/>
  <c r="L93" i="9"/>
  <c r="J94" i="9"/>
  <c r="L92" i="9"/>
  <c r="I91" i="9"/>
  <c r="J92" i="9"/>
  <c r="N92" i="9"/>
  <c r="I93" i="9"/>
  <c r="P92" i="9"/>
  <c r="F94" i="9"/>
  <c r="M92" i="9"/>
  <c r="G92" i="9"/>
  <c r="L94" i="9"/>
  <c r="D93" i="9"/>
  <c r="P91" i="9"/>
  <c r="J91" i="9"/>
  <c r="K91" i="9"/>
  <c r="H92" i="9"/>
  <c r="K92" i="9"/>
  <c r="J93" i="9"/>
  <c r="M71" i="9"/>
  <c r="G21" i="11"/>
  <c r="M21" i="11"/>
  <c r="P40" i="9"/>
  <c r="O43" i="8"/>
  <c r="O41" i="8"/>
  <c r="O39" i="8"/>
  <c r="P12" i="11"/>
  <c r="P58" i="8"/>
  <c r="P36" i="8"/>
  <c r="O38" i="8"/>
  <c r="P11" i="11"/>
  <c r="Q37" i="9"/>
  <c r="Q38" i="9"/>
  <c r="P59" i="8"/>
  <c r="P37" i="8"/>
  <c r="N51" i="8"/>
  <c r="N49" i="8"/>
  <c r="P41" i="9"/>
  <c r="O42" i="8"/>
  <c r="O44" i="8"/>
  <c r="J57" i="8"/>
  <c r="J60" i="8" s="1"/>
  <c r="J76" i="8" s="1"/>
  <c r="J35" i="8"/>
  <c r="P45" i="9"/>
  <c r="O50" i="8"/>
  <c r="O48" i="8"/>
  <c r="F17" i="11"/>
  <c r="F18" i="11"/>
  <c r="J21" i="11"/>
  <c r="H21" i="11"/>
  <c r="K21" i="11"/>
  <c r="L21" i="11"/>
  <c r="H16" i="9"/>
  <c r="H29" i="9" s="1"/>
  <c r="I68" i="9"/>
  <c r="D48" i="9"/>
  <c r="K71" i="9"/>
  <c r="M68" i="9"/>
  <c r="H71" i="9"/>
  <c r="G68" i="9"/>
  <c r="G71" i="9"/>
  <c r="I71" i="9"/>
  <c r="O48" i="9"/>
  <c r="O58" i="9" s="1"/>
  <c r="O68" i="9"/>
  <c r="J71" i="9"/>
  <c r="L69" i="9"/>
  <c r="L68" i="9"/>
  <c r="G70" i="9"/>
  <c r="C48" i="9"/>
  <c r="E70" i="9"/>
  <c r="M70" i="9"/>
  <c r="N40" i="8"/>
  <c r="J47" i="8"/>
  <c r="J10" i="8"/>
  <c r="F10" i="8"/>
  <c r="K40" i="8"/>
  <c r="H40" i="8"/>
  <c r="D40" i="8"/>
  <c r="E47" i="8"/>
  <c r="M40" i="8"/>
  <c r="L40" i="8"/>
  <c r="L10" i="8"/>
  <c r="M10" i="8"/>
  <c r="D10" i="8"/>
  <c r="I47" i="8"/>
  <c r="E40" i="8"/>
  <c r="N47" i="8"/>
  <c r="I40" i="8"/>
  <c r="D47" i="8"/>
  <c r="N10" i="8"/>
  <c r="C10" i="8"/>
  <c r="C40" i="8" s="1"/>
  <c r="P68" i="9"/>
  <c r="P42" i="9"/>
  <c r="P43" i="9" s="1"/>
  <c r="L71" i="9"/>
  <c r="M69" i="9"/>
  <c r="D70" i="9"/>
  <c r="G69" i="9"/>
  <c r="H68" i="9"/>
  <c r="F71" i="9"/>
  <c r="J68" i="9"/>
  <c r="H69" i="9"/>
  <c r="K69" i="9"/>
  <c r="K68" i="9"/>
  <c r="J70" i="9"/>
  <c r="I70" i="9"/>
  <c r="D65" i="9"/>
  <c r="F70" i="9"/>
  <c r="O69" i="9"/>
  <c r="L70" i="9"/>
  <c r="J69" i="9"/>
  <c r="P69" i="9"/>
  <c r="N69" i="9"/>
  <c r="D71" i="9"/>
  <c r="K70" i="9"/>
  <c r="E71" i="9"/>
  <c r="H70" i="9"/>
  <c r="I69" i="9"/>
  <c r="E65" i="9"/>
  <c r="B65" i="9"/>
  <c r="N68" i="9"/>
  <c r="K47" i="8"/>
  <c r="J40" i="8"/>
  <c r="H47" i="8"/>
  <c r="F40" i="8"/>
  <c r="B10" i="8"/>
  <c r="B40" i="8" s="1"/>
  <c r="E17" i="8"/>
  <c r="F17" i="8"/>
  <c r="C17" i="8"/>
  <c r="C47" i="8" s="1"/>
  <c r="B17" i="8"/>
  <c r="B47" i="8" s="1"/>
  <c r="D17" i="8"/>
  <c r="G17" i="8"/>
  <c r="H17" i="8"/>
  <c r="I17" i="8"/>
  <c r="J17" i="8"/>
  <c r="K17" i="8"/>
  <c r="L17" i="8"/>
  <c r="M17" i="8"/>
  <c r="N17" i="8"/>
  <c r="O17" i="8"/>
  <c r="P17" i="8"/>
  <c r="M47" i="8"/>
  <c r="L47" i="8"/>
  <c r="G47" i="8"/>
  <c r="H10" i="8"/>
  <c r="G10" i="8"/>
  <c r="G40" i="8"/>
  <c r="I10" i="8"/>
  <c r="O10" i="8"/>
  <c r="K10" i="8"/>
  <c r="E10" i="8"/>
  <c r="N19" i="11"/>
  <c r="N20" i="11"/>
  <c r="N21" i="11" s="1"/>
  <c r="H47" i="9"/>
  <c r="H60" i="9" s="1"/>
  <c r="G16" i="9"/>
  <c r="E47" i="9"/>
  <c r="E60" i="9" s="1"/>
  <c r="P46" i="7"/>
  <c r="F47" i="9"/>
  <c r="F60" i="9" s="1"/>
  <c r="J47" i="9"/>
  <c r="J60" i="9" s="1"/>
  <c r="K16" i="9"/>
  <c r="K29" i="9" s="1"/>
  <c r="N16" i="9"/>
  <c r="N29" i="9" s="1"/>
  <c r="C47" i="9"/>
  <c r="P16" i="9"/>
  <c r="P29" i="9" s="1"/>
  <c r="F16" i="9"/>
  <c r="J16" i="9"/>
  <c r="J29" i="9" s="1"/>
  <c r="D47" i="9"/>
  <c r="Q16" i="9"/>
  <c r="Q29" i="9" s="1"/>
  <c r="D16" i="9"/>
  <c r="O16" i="9"/>
  <c r="O29" i="9" s="1"/>
  <c r="E16" i="9"/>
  <c r="M16" i="9"/>
  <c r="M29" i="9" s="1"/>
  <c r="I16" i="9"/>
  <c r="I29" i="9" s="1"/>
  <c r="L16" i="9"/>
  <c r="L29" i="9" s="1"/>
  <c r="I47" i="9"/>
  <c r="I60" i="9" s="1"/>
  <c r="C16" i="9"/>
  <c r="G47" i="9"/>
  <c r="G60" i="9" s="1"/>
  <c r="J51" i="7"/>
  <c r="J50" i="7"/>
  <c r="O46" i="9"/>
  <c r="K36" i="9"/>
  <c r="K47" i="9" s="1"/>
  <c r="K60" i="9" s="1"/>
  <c r="P44" i="7"/>
  <c r="P43" i="7"/>
  <c r="Q39" i="9" s="1"/>
  <c r="O40" i="8"/>
  <c r="P45" i="7"/>
  <c r="O49" i="7"/>
  <c r="P48" i="7"/>
  <c r="P47" i="7"/>
  <c r="Q44" i="9" s="1"/>
  <c r="O47" i="8"/>
  <c r="P41" i="7"/>
  <c r="P42" i="7"/>
  <c r="K38" i="7"/>
  <c r="D85" i="9" l="1"/>
  <c r="E29" i="9"/>
  <c r="B85" i="9"/>
  <c r="C29" i="9"/>
  <c r="B66" i="9" s="1"/>
  <c r="F85" i="9"/>
  <c r="F89" i="9" s="1"/>
  <c r="G29" i="9"/>
  <c r="C85" i="9"/>
  <c r="D29" i="9"/>
  <c r="C66" i="9" s="1"/>
  <c r="E85" i="9"/>
  <c r="F29" i="9"/>
  <c r="F69" i="9"/>
  <c r="F68" i="9"/>
  <c r="F90" i="9"/>
  <c r="H90" i="9"/>
  <c r="E90" i="9"/>
  <c r="K89" i="9"/>
  <c r="I89" i="9"/>
  <c r="G90" i="9"/>
  <c r="J90" i="9"/>
  <c r="H89" i="9"/>
  <c r="D90" i="9"/>
  <c r="L89" i="9"/>
  <c r="O89" i="9"/>
  <c r="N89" i="9"/>
  <c r="J89" i="9"/>
  <c r="N93" i="9"/>
  <c r="M89" i="9"/>
  <c r="P89" i="9"/>
  <c r="I90" i="9"/>
  <c r="G89" i="9"/>
  <c r="N70" i="9"/>
  <c r="Q41" i="9"/>
  <c r="P42" i="8"/>
  <c r="P44" i="8"/>
  <c r="O51" i="8"/>
  <c r="O49" i="8"/>
  <c r="P39" i="8"/>
  <c r="Q12" i="11"/>
  <c r="K57" i="8"/>
  <c r="K60" i="8" s="1"/>
  <c r="K76" i="8" s="1"/>
  <c r="K35" i="8"/>
  <c r="Q40" i="9"/>
  <c r="P43" i="8"/>
  <c r="P41" i="8"/>
  <c r="Q42" i="9"/>
  <c r="Q43" i="9" s="1"/>
  <c r="P45" i="8"/>
  <c r="P46" i="8" s="1"/>
  <c r="Q45" i="9"/>
  <c r="P50" i="8"/>
  <c r="P48" i="8"/>
  <c r="P38" i="8"/>
  <c r="Q11" i="11"/>
  <c r="C58" i="9"/>
  <c r="D58" i="9"/>
  <c r="P48" i="9"/>
  <c r="P58" i="9" s="1"/>
  <c r="P22" i="8"/>
  <c r="P64" i="8" s="1"/>
  <c r="D22" i="8"/>
  <c r="D63" i="8" s="1"/>
  <c r="P23" i="8"/>
  <c r="P65" i="8" s="1"/>
  <c r="J23" i="8"/>
  <c r="J65" i="8" s="1"/>
  <c r="M23" i="8"/>
  <c r="M65" i="8" s="1"/>
  <c r="E22" i="8"/>
  <c r="E63" i="8" s="1"/>
  <c r="F22" i="8"/>
  <c r="F63" i="8" s="1"/>
  <c r="F64" i="8" s="1"/>
  <c r="F65" i="8" s="1"/>
  <c r="F53" i="8"/>
  <c r="F67" i="8" s="1"/>
  <c r="D52" i="8"/>
  <c r="D66" i="8" s="1"/>
  <c r="F52" i="8"/>
  <c r="F66" i="8" s="1"/>
  <c r="M22" i="8"/>
  <c r="M64" i="8" s="1"/>
  <c r="K22" i="8"/>
  <c r="K64" i="8" s="1"/>
  <c r="G53" i="8"/>
  <c r="G67" i="8" s="1"/>
  <c r="I52" i="8"/>
  <c r="I66" i="8" s="1"/>
  <c r="G23" i="8"/>
  <c r="G65" i="8" s="1"/>
  <c r="H22" i="8"/>
  <c r="H64" i="8" s="1"/>
  <c r="G22" i="8"/>
  <c r="G64" i="8" s="1"/>
  <c r="O22" i="8"/>
  <c r="O64" i="8" s="1"/>
  <c r="L23" i="8"/>
  <c r="L65" i="8" s="1"/>
  <c r="J22" i="8"/>
  <c r="J64" i="8" s="1"/>
  <c r="G52" i="8"/>
  <c r="G66" i="8" s="1"/>
  <c r="I53" i="8"/>
  <c r="I67" i="8" s="1"/>
  <c r="L22" i="8"/>
  <c r="L64" i="8" s="1"/>
  <c r="O23" i="8"/>
  <c r="O65" i="8" s="1"/>
  <c r="I22" i="8"/>
  <c r="I64" i="8" s="1"/>
  <c r="C52" i="8"/>
  <c r="E52" i="8"/>
  <c r="E66" i="8" s="1"/>
  <c r="H53" i="8"/>
  <c r="H67" i="8" s="1"/>
  <c r="N23" i="8"/>
  <c r="N65" i="8" s="1"/>
  <c r="H23" i="8"/>
  <c r="H65" i="8" s="1"/>
  <c r="C22" i="8"/>
  <c r="C63" i="8" s="1"/>
  <c r="E53" i="8"/>
  <c r="E67" i="8" s="1"/>
  <c r="D53" i="8"/>
  <c r="D67" i="8" s="1"/>
  <c r="N22" i="8"/>
  <c r="N64" i="8" s="1"/>
  <c r="B22" i="8"/>
  <c r="B63" i="8" s="1"/>
  <c r="K23" i="8"/>
  <c r="K65" i="8" s="1"/>
  <c r="B52" i="8"/>
  <c r="H52" i="8"/>
  <c r="H66" i="8" s="1"/>
  <c r="I23" i="8"/>
  <c r="I65" i="8" s="1"/>
  <c r="O20" i="11"/>
  <c r="O21" i="11" s="1"/>
  <c r="O19" i="11"/>
  <c r="I72" i="9"/>
  <c r="L72" i="9"/>
  <c r="O72" i="9"/>
  <c r="D73" i="9"/>
  <c r="E73" i="9"/>
  <c r="H72" i="9"/>
  <c r="N72" i="9"/>
  <c r="M72" i="9"/>
  <c r="K72" i="9"/>
  <c r="F73" i="9"/>
  <c r="J72" i="9"/>
  <c r="P72" i="9"/>
  <c r="H73" i="9"/>
  <c r="J53" i="8"/>
  <c r="J67" i="8" s="1"/>
  <c r="J52" i="8"/>
  <c r="J66" i="8" s="1"/>
  <c r="P40" i="8"/>
  <c r="O49" i="9"/>
  <c r="O59" i="9" s="1"/>
  <c r="K51" i="7"/>
  <c r="K50" i="7"/>
  <c r="P46" i="9"/>
  <c r="P47" i="8"/>
  <c r="L36" i="9"/>
  <c r="L47" i="9" s="1"/>
  <c r="L60" i="9" s="1"/>
  <c r="P49" i="7"/>
  <c r="L38" i="7"/>
  <c r="J68" i="8" l="1"/>
  <c r="N94" i="9"/>
  <c r="K90" i="9"/>
  <c r="O93" i="9"/>
  <c r="G73" i="9"/>
  <c r="G77" i="9" s="1"/>
  <c r="G72" i="9"/>
  <c r="G75" i="9" s="1"/>
  <c r="I73" i="9"/>
  <c r="I76" i="9" s="1"/>
  <c r="J73" i="9"/>
  <c r="J76" i="9" s="1"/>
  <c r="E66" i="9"/>
  <c r="E67" i="9" s="1"/>
  <c r="F66" i="9"/>
  <c r="D66" i="9"/>
  <c r="D67" i="9" s="1"/>
  <c r="O70" i="9"/>
  <c r="N71" i="9"/>
  <c r="Q48" i="9"/>
  <c r="Q58" i="9" s="1"/>
  <c r="P51" i="8"/>
  <c r="P49" i="8"/>
  <c r="L57" i="8"/>
  <c r="L60" i="8" s="1"/>
  <c r="L76" i="8" s="1"/>
  <c r="L35" i="8"/>
  <c r="H31" i="9"/>
  <c r="H30" i="9"/>
  <c r="H68" i="8"/>
  <c r="G68" i="8"/>
  <c r="I68" i="8"/>
  <c r="Q31" i="9"/>
  <c r="I30" i="9"/>
  <c r="M30" i="9"/>
  <c r="O31" i="9"/>
  <c r="P30" i="9"/>
  <c r="L31" i="9"/>
  <c r="J31" i="9"/>
  <c r="K31" i="9"/>
  <c r="N31" i="9"/>
  <c r="G61" i="9"/>
  <c r="F62" i="9"/>
  <c r="F54" i="9" s="1"/>
  <c r="E61" i="9"/>
  <c r="I62" i="9"/>
  <c r="I54" i="9" s="1"/>
  <c r="D60" i="9"/>
  <c r="D61" i="9" s="1"/>
  <c r="C67" i="9"/>
  <c r="C60" i="9"/>
  <c r="C61" i="9" s="1"/>
  <c r="B67" i="9"/>
  <c r="E62" i="9"/>
  <c r="E54" i="9" s="1"/>
  <c r="F61" i="9"/>
  <c r="G62" i="9"/>
  <c r="G54" i="9" s="1"/>
  <c r="I31" i="9"/>
  <c r="J61" i="9"/>
  <c r="J30" i="9"/>
  <c r="P31" i="9"/>
  <c r="L30" i="9"/>
  <c r="H61" i="9"/>
  <c r="O30" i="9"/>
  <c r="N30" i="9"/>
  <c r="I61" i="9"/>
  <c r="K62" i="9"/>
  <c r="K54" i="9" s="1"/>
  <c r="M31" i="9"/>
  <c r="K61" i="9"/>
  <c r="K30" i="9"/>
  <c r="J62" i="9"/>
  <c r="J54" i="9" s="1"/>
  <c r="H62" i="9"/>
  <c r="H54" i="9" s="1"/>
  <c r="Q30" i="9"/>
  <c r="E30" i="9"/>
  <c r="C30" i="9"/>
  <c r="G30" i="9"/>
  <c r="F30" i="9"/>
  <c r="D30" i="9"/>
  <c r="P20" i="11"/>
  <c r="P21" i="11" s="1"/>
  <c r="P19" i="11"/>
  <c r="K73" i="9"/>
  <c r="K52" i="8"/>
  <c r="K66" i="8" s="1"/>
  <c r="K53" i="8"/>
  <c r="K67" i="8" s="1"/>
  <c r="K68" i="8" s="1"/>
  <c r="P49" i="9"/>
  <c r="P59" i="9" s="1"/>
  <c r="L51" i="7"/>
  <c r="L50" i="7"/>
  <c r="Q46" i="9"/>
  <c r="M36" i="9"/>
  <c r="M47" i="9" s="1"/>
  <c r="M60" i="9" s="1"/>
  <c r="M38" i="7"/>
  <c r="K53" i="9" l="1"/>
  <c r="J97" i="9" s="1"/>
  <c r="J101" i="9" s="1"/>
  <c r="H53" i="9"/>
  <c r="G97" i="9" s="1"/>
  <c r="G101" i="9" s="1"/>
  <c r="G53" i="9"/>
  <c r="F97" i="9" s="1"/>
  <c r="F101" i="9" s="1"/>
  <c r="J53" i="9"/>
  <c r="I97" i="9" s="1"/>
  <c r="I101" i="9" s="1"/>
  <c r="I53" i="9"/>
  <c r="H97" i="9" s="1"/>
  <c r="H101" i="9" s="1"/>
  <c r="F53" i="9"/>
  <c r="E97" i="9" s="1"/>
  <c r="E101" i="9" s="1"/>
  <c r="E53" i="9"/>
  <c r="D97" i="9" s="1"/>
  <c r="D101" i="9" s="1"/>
  <c r="Q23" i="9"/>
  <c r="P96" i="9" s="1"/>
  <c r="P100" i="9" s="1"/>
  <c r="L23" i="9"/>
  <c r="K96" i="9" s="1"/>
  <c r="K100" i="9" s="1"/>
  <c r="K23" i="9"/>
  <c r="J96" i="9" s="1"/>
  <c r="J100" i="9" s="1"/>
  <c r="P22" i="9"/>
  <c r="O95" i="9" s="1"/>
  <c r="O99" i="9" s="1"/>
  <c r="N23" i="9"/>
  <c r="M96" i="9" s="1"/>
  <c r="M100" i="9" s="1"/>
  <c r="Q22" i="9"/>
  <c r="P95" i="9" s="1"/>
  <c r="P99" i="9" s="1"/>
  <c r="N22" i="9"/>
  <c r="M95" i="9" s="1"/>
  <c r="M99" i="9" s="1"/>
  <c r="O23" i="9"/>
  <c r="N96" i="9" s="1"/>
  <c r="N100" i="9" s="1"/>
  <c r="K22" i="9"/>
  <c r="J95" i="9" s="1"/>
  <c r="J99" i="9" s="1"/>
  <c r="P23" i="9"/>
  <c r="O96" i="9" s="1"/>
  <c r="O100" i="9" s="1"/>
  <c r="M23" i="9"/>
  <c r="L96" i="9" s="1"/>
  <c r="L100" i="9" s="1"/>
  <c r="M22" i="9"/>
  <c r="L95" i="9" s="1"/>
  <c r="L99" i="9" s="1"/>
  <c r="L22" i="9"/>
  <c r="K95" i="9" s="1"/>
  <c r="K99" i="9" s="1"/>
  <c r="O22" i="9"/>
  <c r="N95" i="9" s="1"/>
  <c r="N99" i="9" s="1"/>
  <c r="J23" i="9"/>
  <c r="I96" i="9" s="1"/>
  <c r="I100" i="9" s="1"/>
  <c r="I23" i="9"/>
  <c r="H96" i="9" s="1"/>
  <c r="H100" i="9" s="1"/>
  <c r="H23" i="9"/>
  <c r="G96" i="9" s="1"/>
  <c r="G100" i="9" s="1"/>
  <c r="J22" i="9"/>
  <c r="I95" i="9" s="1"/>
  <c r="I99" i="9" s="1"/>
  <c r="I22" i="9"/>
  <c r="H95" i="9" s="1"/>
  <c r="H99" i="9" s="1"/>
  <c r="H22" i="9"/>
  <c r="G95" i="9" s="1"/>
  <c r="G99" i="9" s="1"/>
  <c r="G22" i="9"/>
  <c r="F87" i="9" s="1"/>
  <c r="D22" i="9"/>
  <c r="D53" i="9" s="1"/>
  <c r="E22" i="9"/>
  <c r="D87" i="9" s="1"/>
  <c r="D88" i="9" s="1"/>
  <c r="F22" i="9"/>
  <c r="E87" i="9" s="1"/>
  <c r="E88" i="9" s="1"/>
  <c r="C22" i="9"/>
  <c r="B87" i="9" s="1"/>
  <c r="B88" i="9" s="1"/>
  <c r="F67" i="9"/>
  <c r="F72" i="9"/>
  <c r="L90" i="9"/>
  <c r="O94" i="9"/>
  <c r="P93" i="9"/>
  <c r="P70" i="9"/>
  <c r="G76" i="9"/>
  <c r="J77" i="9"/>
  <c r="I77" i="9"/>
  <c r="G74" i="9"/>
  <c r="O71" i="9"/>
  <c r="D98" i="9"/>
  <c r="D102" i="9" s="1"/>
  <c r="F98" i="9"/>
  <c r="F102" i="9" s="1"/>
  <c r="E98" i="9"/>
  <c r="E102" i="9" s="1"/>
  <c r="M57" i="8"/>
  <c r="M60" i="8" s="1"/>
  <c r="M76" i="8" s="1"/>
  <c r="M35" i="8"/>
  <c r="F77" i="9"/>
  <c r="F76" i="9"/>
  <c r="K74" i="9"/>
  <c r="K75" i="9"/>
  <c r="H75" i="9"/>
  <c r="H74" i="9"/>
  <c r="H76" i="9"/>
  <c r="H77" i="9"/>
  <c r="M75" i="9"/>
  <c r="M74" i="9"/>
  <c r="O75" i="9"/>
  <c r="O74" i="9"/>
  <c r="P74" i="9"/>
  <c r="P75" i="9"/>
  <c r="K76" i="9"/>
  <c r="K77" i="9"/>
  <c r="D77" i="9"/>
  <c r="D76" i="9"/>
  <c r="J75" i="9"/>
  <c r="J74" i="9"/>
  <c r="N75" i="9"/>
  <c r="N74" i="9"/>
  <c r="E77" i="9"/>
  <c r="E76" i="9"/>
  <c r="I74" i="9"/>
  <c r="I75" i="9"/>
  <c r="L75" i="9"/>
  <c r="L74" i="9"/>
  <c r="L61" i="9"/>
  <c r="L62" i="9"/>
  <c r="L54" i="9" s="1"/>
  <c r="L73" i="9"/>
  <c r="L52" i="8"/>
  <c r="L66" i="8" s="1"/>
  <c r="L53" i="8"/>
  <c r="L67" i="8" s="1"/>
  <c r="L68" i="8" s="1"/>
  <c r="Q49" i="9"/>
  <c r="Q59" i="9" s="1"/>
  <c r="M51" i="7"/>
  <c r="M50" i="7"/>
  <c r="N36" i="9"/>
  <c r="N47" i="9" s="1"/>
  <c r="N60" i="9" s="1"/>
  <c r="N38" i="7"/>
  <c r="L53" i="9" l="1"/>
  <c r="K97" i="9" s="1"/>
  <c r="K101" i="9" s="1"/>
  <c r="C87" i="9"/>
  <c r="C88" i="9" s="1"/>
  <c r="F88" i="9"/>
  <c r="F99" i="9" s="1"/>
  <c r="F96" i="9"/>
  <c r="F95" i="9"/>
  <c r="C53" i="9"/>
  <c r="F74" i="9"/>
  <c r="F75" i="9"/>
  <c r="G98" i="9"/>
  <c r="G102" i="9" s="1"/>
  <c r="G103" i="9" s="1"/>
  <c r="H98" i="9"/>
  <c r="H102" i="9" s="1"/>
  <c r="H103" i="9" s="1"/>
  <c r="P94" i="9"/>
  <c r="I98" i="9"/>
  <c r="I102" i="9" s="1"/>
  <c r="I103" i="9" s="1"/>
  <c r="M90" i="9"/>
  <c r="J98" i="9"/>
  <c r="J102" i="9" s="1"/>
  <c r="J103" i="9" s="1"/>
  <c r="P71" i="9"/>
  <c r="N57" i="8"/>
  <c r="N60" i="8" s="1"/>
  <c r="N76" i="8" s="1"/>
  <c r="N35" i="8"/>
  <c r="L76" i="9"/>
  <c r="L77" i="9"/>
  <c r="M61" i="9"/>
  <c r="M62" i="9"/>
  <c r="M54" i="9" s="1"/>
  <c r="M73" i="9"/>
  <c r="M52" i="8"/>
  <c r="M66" i="8" s="1"/>
  <c r="M53" i="8"/>
  <c r="M67" i="8" s="1"/>
  <c r="M68" i="8" s="1"/>
  <c r="N50" i="7"/>
  <c r="N51" i="7"/>
  <c r="O36" i="9"/>
  <c r="O47" i="9" s="1"/>
  <c r="O60" i="9" s="1"/>
  <c r="O38" i="7"/>
  <c r="F100" i="9" l="1"/>
  <c r="M53" i="9"/>
  <c r="L97" i="9" s="1"/>
  <c r="L101" i="9" s="1"/>
  <c r="K98" i="9"/>
  <c r="K102" i="9" s="1"/>
  <c r="K103" i="9" s="1"/>
  <c r="N90" i="9"/>
  <c r="O57" i="8"/>
  <c r="O60" i="8" s="1"/>
  <c r="O76" i="8" s="1"/>
  <c r="O35" i="8"/>
  <c r="M77" i="9"/>
  <c r="M76" i="9"/>
  <c r="N62" i="9"/>
  <c r="N54" i="9" s="1"/>
  <c r="N61" i="9"/>
  <c r="N73" i="9"/>
  <c r="N52" i="8"/>
  <c r="N66" i="8" s="1"/>
  <c r="N53" i="8"/>
  <c r="N67" i="8" s="1"/>
  <c r="N68" i="8" s="1"/>
  <c r="O51" i="7"/>
  <c r="O50" i="7"/>
  <c r="P36" i="9"/>
  <c r="P47" i="9" s="1"/>
  <c r="P60" i="9" s="1"/>
  <c r="P38" i="7"/>
  <c r="N53" i="9" l="1"/>
  <c r="M97" i="9" s="1"/>
  <c r="M101" i="9" s="1"/>
  <c r="O90" i="9"/>
  <c r="L98" i="9"/>
  <c r="L102" i="9" s="1"/>
  <c r="L103" i="9" s="1"/>
  <c r="P57" i="8"/>
  <c r="P60" i="8" s="1"/>
  <c r="P76" i="8" s="1"/>
  <c r="P35" i="8"/>
  <c r="N76" i="9"/>
  <c r="N77" i="9"/>
  <c r="O61" i="9"/>
  <c r="O62" i="9"/>
  <c r="O54" i="9" s="1"/>
  <c r="O73" i="9"/>
  <c r="O53" i="8"/>
  <c r="O67" i="8" s="1"/>
  <c r="O68" i="8" s="1"/>
  <c r="O52" i="8"/>
  <c r="O66" i="8" s="1"/>
  <c r="P51" i="7"/>
  <c r="P50" i="7"/>
  <c r="Q36" i="9"/>
  <c r="Q47" i="9" s="1"/>
  <c r="Q60" i="9" s="1"/>
  <c r="O53" i="9" l="1"/>
  <c r="N97" i="9" s="1"/>
  <c r="N101" i="9" s="1"/>
  <c r="P90" i="9"/>
  <c r="M98" i="9"/>
  <c r="M102" i="9" s="1"/>
  <c r="M103" i="9" s="1"/>
  <c r="O76" i="9"/>
  <c r="O77" i="9"/>
  <c r="P61" i="9"/>
  <c r="P62" i="9"/>
  <c r="P54" i="9" s="1"/>
  <c r="P73" i="9"/>
  <c r="P53" i="8"/>
  <c r="P67" i="8" s="1"/>
  <c r="P68" i="8" s="1"/>
  <c r="P52" i="8"/>
  <c r="P66" i="8" s="1"/>
  <c r="P53" i="9" l="1"/>
  <c r="O97" i="9" s="1"/>
  <c r="O101" i="9" s="1"/>
  <c r="N98" i="9"/>
  <c r="N102" i="9" s="1"/>
  <c r="N103" i="9" s="1"/>
  <c r="P76" i="9"/>
  <c r="P77" i="9"/>
  <c r="Q61" i="9"/>
  <c r="Q62" i="9"/>
  <c r="Q54" i="9" s="1"/>
  <c r="Q53" i="9" l="1"/>
  <c r="P97" i="9" s="1"/>
  <c r="P101" i="9" s="1"/>
  <c r="O98" i="9"/>
  <c r="O102" i="9" s="1"/>
  <c r="O103" i="9" s="1"/>
  <c r="P98" i="9" l="1"/>
  <c r="P102" i="9" s="1"/>
  <c r="P10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tc={2B7F5B41-1AEC-4374-8FCA-80C984EDCE72}</author>
    <author>tc={24204304-9359-4CE5-88C6-922F8774985A}</author>
    <author>tc={55F57B24-5E65-476C-8E2D-B92FB15E588C}</author>
    <author>tc={7BBE581B-758D-43D7-84AD-AC557ECB4D07}</author>
    <author>tc={6A2D9B77-29F4-4BB0-B966-9EE33D294E4F}</author>
    <author>tc={D0167487-3557-410A-ACBA-4A160AA2B552}</author>
    <author>tc={8C3E1005-8130-4F99-B0C1-A9C9185C7BD3}</author>
  </authors>
  <commentList>
    <comment ref="T4" authorId="0" shapeId="0" xr:uid="{2B7F5B41-1AEC-4374-8FCA-80C984EDCE72}">
      <text>
        <t>[Threaded comment]
Your version of Excel allows you to read this threaded comment; however, any edits to it will get removed if the file is opened in a newer version of Excel. Learn more: https://go.microsoft.com/fwlink/?linkid=870924
Comment:
    NHS GGC and NHS Lothian cover populations &lt;1m and therefore require minimum 8 IR</t>
      </text>
    </comment>
    <comment ref="W6" authorId="1" shapeId="0" xr:uid="{24204304-9359-4CE5-88C6-922F8774985A}">
      <text>
        <t>[Threaded comment]
Your version of Excel allows you to read this threaded comment; however, any edits to it will get removed if the file is opened in a newer version of Excel. Learn more: https://go.microsoft.com/fwlink/?linkid=870924
Comment:
    Suggested 1:1 match (100%) with staff undertaking US to achieve the most effective support for better throughput</t>
      </text>
    </comment>
    <comment ref="Y6" authorId="2" shapeId="0" xr:uid="{55F57B24-5E65-476C-8E2D-B92FB15E588C}">
      <text>
        <t>[Threaded comment]
Your version of Excel allows you to read this threaded comment; however, any edits to it will get removed if the file is opened in a newer version of Excel. Learn more: https://go.microsoft.com/fwlink/?linkid=870924
Comment:
    Suggested 30% of Band 5 workforce from national analysis</t>
      </text>
    </comment>
    <comment ref="AA6" authorId="3" shapeId="0" xr:uid="{7BBE581B-758D-43D7-84AD-AC557ECB4D07}">
      <text>
        <t>[Threaded comment]
Your version of Excel allows you to read this threaded comment; however, any edits to it will get removed if the file is opened in a newer version of Excel. Learn more: https://go.microsoft.com/fwlink/?linkid=870924
Comment:
    Suggested 14% pro rata from national analysis</t>
      </text>
    </comment>
    <comment ref="T10" authorId="4" shapeId="0" xr:uid="{6A2D9B77-29F4-4BB0-B966-9EE33D294E4F}">
      <text>
        <t>[Threaded comment]
Your version of Excel allows you to read this threaded comment; however, any edits to it will get removed if the file is opened in a newer version of Excel. Learn more: https://go.microsoft.com/fwlink/?linkid=870924
Comment:
    NHS Islands Boards and NHS Borders have formal arrangements in place for another Board to provide their IR cover</t>
      </text>
    </comment>
    <comment ref="U13" authorId="5" shapeId="0" xr:uid="{D0167487-3557-410A-ACBA-4A160AA2B552}">
      <text>
        <t>[Threaded comment]
Your version of Excel allows you to read this threaded comment; however, any edits to it will get removed if the file is opened in a newer version of Excel. Learn more: https://go.microsoft.com/fwlink/?linkid=870924
Comment:
    e.g. 100% means a 1:1 match with the calculated Diagnostic Radiographer staff required for Interventional labs and Cardiology labs</t>
      </text>
    </comment>
    <comment ref="W13" authorId="6" shapeId="0" xr:uid="{8C3E1005-8130-4F99-B0C1-A9C9185C7BD3}">
      <text>
        <t>[Threaded comment]
Your version of Excel allows you to read this threaded comment; however, any edits to it will get removed if the file is opened in a newer version of Excel. Learn more: https://go.microsoft.com/fwlink/?linkid=870924
Comment:
    Suggested 30% of Band 6 workforce from national analysis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tc={13F2E3BF-04FA-4DB9-8E03-06065D46E6BE}</author>
    <author>tc={3307C20C-A27C-44C0-8B46-2416845BF5F6}</author>
    <author>tc={49DC17C9-8E91-42C6-8E12-08C43B7F1B9F}</author>
    <author>tc={5EFD84B4-2FAF-4098-A998-7CB10DC49816}</author>
    <author>tc={AA597380-89F4-47A9-A7D6-8EA299BF7633}</author>
    <author>tc={B1C854F9-B973-4D47-B148-E219A58DFED3}</author>
  </authors>
  <commentList>
    <comment ref="D20" authorId="0" shapeId="0" xr:uid="{13F2E3BF-04FA-4DB9-8E03-06065D46E6BE}">
      <text>
        <t>[Threaded comment]
Your version of Excel allows you to read this threaded comment; however, any edits to it will get removed if the file is opened in a newer version of Excel. Learn more: https://go.microsoft.com/fwlink/?linkid=870924
Comment:
    NES projected DR forecast 1% Growth or 1.4% Growth year-on-year</t>
      </text>
    </comment>
    <comment ref="D23" authorId="1" shapeId="0" xr:uid="{3307C20C-A27C-44C0-8B46-2416845BF5F6}">
      <text>
        <t>[Threaded comment]
Your version of Excel allows you to read this threaded comment; however, any edits to it will get removed if the file is opened in a newer version of Excel. Learn more: https://go.microsoft.com/fwlink/?linkid=870924
Comment:
    NES projected DR forecast 1% Growth or 1.4% Growth year-on-year</t>
      </text>
    </comment>
    <comment ref="D26" authorId="2" shapeId="0" xr:uid="{49DC17C9-8E91-42C6-8E12-08C43B7F1B9F}">
      <text>
        <t>[Threaded comment]
Your version of Excel allows you to read this threaded comment; however, any edits to it will get removed if the file is opened in a newer version of Excel. Learn more: https://go.microsoft.com/fwlink/?linkid=870924
Comment:
    NES projected DR forecast 1% Growth or 1.4% Growth year-on-year</t>
      </text>
    </comment>
    <comment ref="D29" authorId="3" shapeId="0" xr:uid="{5EFD84B4-2FAF-4098-A998-7CB10DC49816}">
      <text>
        <t>[Threaded comment]
Your version of Excel allows you to read this threaded comment; however, any edits to it will get removed if the file is opened in a newer version of Excel. Learn more: https://go.microsoft.com/fwlink/?linkid=870924
Comment:
    NES projected DR forecast 1% Growth or 1.4% Growth year-on-year</t>
      </text>
    </comment>
    <comment ref="D32" authorId="4" shapeId="0" xr:uid="{AA597380-89F4-47A9-A7D6-8EA299BF7633}">
      <text>
        <t>[Threaded comment]
Your version of Excel allows you to read this threaded comment; however, any edits to it will get removed if the file is opened in a newer version of Excel. Learn more: https://go.microsoft.com/fwlink/?linkid=870924
Comment:
    NES projected DR forecast 1% Growth or 1.4% Growth year-on-year</t>
      </text>
    </comment>
    <comment ref="D35" authorId="5" shapeId="0" xr:uid="{B1C854F9-B973-4D47-B148-E219A58DFED3}">
      <text>
        <t>[Threaded comment]
Your version of Excel allows you to read this threaded comment; however, any edits to it will get removed if the file is opened in a newer version of Excel. Learn more: https://go.microsoft.com/fwlink/?linkid=870924
Comment:
    NES projected DR forecast 1% Growth or 1.4% Growth year-on-year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tc={5D42BE95-737C-4BC8-AFD0-04975D39E80D}</author>
  </authors>
  <commentList>
    <comment ref="A62" authorId="0" shapeId="0" xr:uid="{5D42BE95-737C-4BC8-AFD0-04975D39E80D}">
      <text>
        <t>[Threaded comment]
Your version of Excel allows you to read this threaded comment; however, any edits to it will get removed if the file is opened in a newer version of Excel. Learn more: https://go.microsoft.com/fwlink/?linkid=870924
Comment:
    These hidden tables are set to automatically pull data from elsewhere within the modelling in order to populate the associated graphs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tc={4E286A9C-37F5-4341-A762-B1CA1EB3D488}</author>
  </authors>
  <commentList>
    <comment ref="A64" authorId="0" shapeId="0" xr:uid="{4E286A9C-37F5-4341-A762-B1CA1EB3D488}">
      <text>
        <t>[Threaded comment]
Your version of Excel allows you to read this threaded comment; however, any edits to it will get removed if the file is opened in a newer version of Excel. Learn more: https://go.microsoft.com/fwlink/?linkid=870924
Comment:
    These hidden tables are set to automatically pull data from elsewhere within the modelling in order to populate the associated graphs</t>
      </text>
    </comment>
  </commentList>
</comments>
</file>

<file path=xl/sharedStrings.xml><?xml version="1.0" encoding="utf-8"?>
<sst xmlns="http://schemas.openxmlformats.org/spreadsheetml/2006/main" count="1186" uniqueCount="524">
  <si>
    <t>XRAY</t>
  </si>
  <si>
    <t>ULTRASOUND</t>
  </si>
  <si>
    <t>NM/RNI</t>
  </si>
  <si>
    <t>MRI/MRA/MRV</t>
  </si>
  <si>
    <t>INTERVENTIONAL</t>
  </si>
  <si>
    <t>FLUOROSCOPY</t>
  </si>
  <si>
    <t>CT</t>
  </si>
  <si>
    <t>April 2019 - March 2020</t>
  </si>
  <si>
    <t>Reporting Activity per Hour</t>
  </si>
  <si>
    <t>Nuclear Medicine</t>
  </si>
  <si>
    <t>Total theoretical working days</t>
  </si>
  <si>
    <t>Less annual leave</t>
  </si>
  <si>
    <t>Less public holidays</t>
  </si>
  <si>
    <t>days</t>
  </si>
  <si>
    <t>CT (simple)</t>
  </si>
  <si>
    <t>CT (complex)</t>
  </si>
  <si>
    <t>Minutes per Report</t>
  </si>
  <si>
    <t>minutes</t>
  </si>
  <si>
    <t>DEXA</t>
  </si>
  <si>
    <t>Fluoroscopy</t>
  </si>
  <si>
    <t>Consultant Radiologists</t>
  </si>
  <si>
    <t>Reporting Radiographers</t>
  </si>
  <si>
    <t>Modality</t>
  </si>
  <si>
    <t>Diagnostic Radiographers</t>
  </si>
  <si>
    <t>Sonographers</t>
  </si>
  <si>
    <t>Interventional</t>
  </si>
  <si>
    <t>Minutes per Exam</t>
  </si>
  <si>
    <t>Activity per Hour</t>
  </si>
  <si>
    <t>Assumed capacity per WTE for reporting and image acquisition, by staff group</t>
  </si>
  <si>
    <t>8 hour days</t>
  </si>
  <si>
    <t>7.5 hour days</t>
  </si>
  <si>
    <t>Band 5</t>
  </si>
  <si>
    <t>Band 6</t>
  </si>
  <si>
    <t>Band 7</t>
  </si>
  <si>
    <t>US session = 3.75 hours</t>
  </si>
  <si>
    <t>April 2017 - March 2018</t>
  </si>
  <si>
    <t>April 2018 - March 2019</t>
  </si>
  <si>
    <t>April 2020 - March 2021</t>
  </si>
  <si>
    <t>April 2021 - March 2022</t>
  </si>
  <si>
    <t>ALL</t>
  </si>
  <si>
    <t>COVID-adjusted</t>
  </si>
  <si>
    <t>April 2022 - March 2023</t>
  </si>
  <si>
    <t>April 2023 - March 2024</t>
  </si>
  <si>
    <t>April 2024 - March 2025</t>
  </si>
  <si>
    <t>April 2025 - March 2026</t>
  </si>
  <si>
    <t>April 2026 - March 2027</t>
  </si>
  <si>
    <t>Band 4</t>
  </si>
  <si>
    <t>Equivalent WTE Sonographers required, based on actual exam requests</t>
  </si>
  <si>
    <t>Exam Activity per Hour</t>
  </si>
  <si>
    <t>No. Staff Required</t>
  </si>
  <si>
    <t>AfC Assumption</t>
  </si>
  <si>
    <t>Minutes per Exam per WTE</t>
  </si>
  <si>
    <t>Ultrasound (non-obstetric)</t>
  </si>
  <si>
    <t>MAMMOGRAPHY</t>
  </si>
  <si>
    <t>April - December 2019</t>
  </si>
  <si>
    <t>Multiplied by (4/3)</t>
  </si>
  <si>
    <r>
      <t xml:space="preserve">Adjusting for assumed </t>
    </r>
    <r>
      <rPr>
        <b/>
        <sz val="9"/>
        <color theme="1"/>
        <rFont val="Arial"/>
        <family val="2"/>
      </rPr>
      <t>missing COVID</t>
    </r>
    <r>
      <rPr>
        <sz val="9"/>
        <color theme="1"/>
        <rFont val="Arial"/>
        <family val="2"/>
      </rPr>
      <t xml:space="preserve"> activity Jan-Mar 2020</t>
    </r>
  </si>
  <si>
    <t>Assumed missing COVID activity</t>
  </si>
  <si>
    <t>Equivalent WTE Sonographers required</t>
  </si>
  <si>
    <t>April 2027 - March 2028</t>
  </si>
  <si>
    <t>April 2028 - March 2029</t>
  </si>
  <si>
    <t>MRI (simple)</t>
  </si>
  <si>
    <t>enter figure</t>
  </si>
  <si>
    <t>MRI (complex)</t>
  </si>
  <si>
    <r>
      <t>Equivalent WTE Sonographers required, based on projected exam requests (</t>
    </r>
    <r>
      <rPr>
        <b/>
        <sz val="9"/>
        <color rgb="FF333333"/>
        <rFont val="Arial"/>
        <family val="2"/>
      </rPr>
      <t xml:space="preserve">not </t>
    </r>
    <r>
      <rPr>
        <sz val="9"/>
        <color rgb="FF333333"/>
        <rFont val="Arial"/>
        <family val="2"/>
      </rPr>
      <t>COVID-adjusted)</t>
    </r>
  </si>
  <si>
    <r>
      <t>Equivalent WTE Sonographers required, based on projected exam requests (</t>
    </r>
    <r>
      <rPr>
        <b/>
        <sz val="9"/>
        <color rgb="FF333333"/>
        <rFont val="Arial"/>
        <family val="2"/>
      </rPr>
      <t>COVID-adjusted</t>
    </r>
    <r>
      <rPr>
        <sz val="9"/>
        <color rgb="FF333333"/>
        <rFont val="Arial"/>
        <family val="2"/>
      </rPr>
      <t>)</t>
    </r>
  </si>
  <si>
    <r>
      <t xml:space="preserve">ULTRASOUND </t>
    </r>
    <r>
      <rPr>
        <i/>
        <sz val="9"/>
        <color rgb="FF333333"/>
        <rFont val="Arial"/>
        <family val="2"/>
      </rPr>
      <t>(range)</t>
    </r>
  </si>
  <si>
    <r>
      <t xml:space="preserve">MRI/MRA/MRV </t>
    </r>
    <r>
      <rPr>
        <i/>
        <sz val="9"/>
        <color rgb="FF333333"/>
        <rFont val="Arial"/>
        <family val="2"/>
      </rPr>
      <t>(range)</t>
    </r>
  </si>
  <si>
    <r>
      <t xml:space="preserve">CT </t>
    </r>
    <r>
      <rPr>
        <i/>
        <sz val="9"/>
        <color rgb="FF333333"/>
        <rFont val="Arial"/>
        <family val="2"/>
      </rPr>
      <t>(range)</t>
    </r>
  </si>
  <si>
    <t>Not COVID-adjusted</t>
  </si>
  <si>
    <t>April 2029 - March 2030</t>
  </si>
  <si>
    <t>April 2030 - March 2031</t>
  </si>
  <si>
    <t>April 2031 - March 2032</t>
  </si>
  <si>
    <t>2017/18</t>
  </si>
  <si>
    <t>2018/19</t>
  </si>
  <si>
    <t>2019/20</t>
  </si>
  <si>
    <t>2020/21</t>
  </si>
  <si>
    <t>2021/22</t>
  </si>
  <si>
    <t>2022/23</t>
  </si>
  <si>
    <t>2023/24</t>
  </si>
  <si>
    <t>2031/32</t>
  </si>
  <si>
    <t>2030/31</t>
  </si>
  <si>
    <t>2029/30</t>
  </si>
  <si>
    <t>2028/29</t>
  </si>
  <si>
    <t>2027/28</t>
  </si>
  <si>
    <t>2026/27</t>
  </si>
  <si>
    <t>2025/26</t>
  </si>
  <si>
    <t>2024/25</t>
  </si>
  <si>
    <r>
      <t xml:space="preserve">of all </t>
    </r>
    <r>
      <rPr>
        <b/>
        <sz val="9"/>
        <rFont val="Arial"/>
        <family val="2"/>
      </rPr>
      <t>CT</t>
    </r>
    <r>
      <rPr>
        <sz val="9"/>
        <rFont val="Arial"/>
        <family val="2"/>
      </rPr>
      <t xml:space="preserve"> undertaken is </t>
    </r>
    <r>
      <rPr>
        <b/>
        <sz val="9"/>
        <rFont val="Arial"/>
        <family val="2"/>
      </rPr>
      <t>complex</t>
    </r>
    <r>
      <rPr>
        <sz val="9"/>
        <rFont val="Arial"/>
        <family val="2"/>
      </rPr>
      <t xml:space="preserve"> to report</t>
    </r>
    <r>
      <rPr>
        <b/>
        <sz val="9"/>
        <rFont val="Arial"/>
        <family val="2"/>
      </rPr>
      <t xml:space="preserve">, </t>
    </r>
    <r>
      <rPr>
        <sz val="9"/>
        <rFont val="Arial"/>
        <family val="2"/>
      </rPr>
      <t>and</t>
    </r>
  </si>
  <si>
    <r>
      <t xml:space="preserve">of all </t>
    </r>
    <r>
      <rPr>
        <b/>
        <sz val="9"/>
        <rFont val="Arial"/>
        <family val="2"/>
      </rPr>
      <t>CT</t>
    </r>
    <r>
      <rPr>
        <sz val="9"/>
        <rFont val="Arial"/>
        <family val="2"/>
      </rPr>
      <t xml:space="preserve"> undertaken is </t>
    </r>
    <r>
      <rPr>
        <b/>
        <sz val="9"/>
        <rFont val="Arial"/>
        <family val="2"/>
      </rPr>
      <t>simple</t>
    </r>
    <r>
      <rPr>
        <sz val="9"/>
        <rFont val="Arial"/>
        <family val="2"/>
      </rPr>
      <t xml:space="preserve"> to report </t>
    </r>
    <r>
      <rPr>
        <i/>
        <sz val="9"/>
        <rFont val="Arial"/>
        <family val="2"/>
      </rPr>
      <t>(RCR definitions of average time required to report)</t>
    </r>
  </si>
  <si>
    <r>
      <t xml:space="preserve">of all </t>
    </r>
    <r>
      <rPr>
        <b/>
        <sz val="9"/>
        <rFont val="Arial"/>
        <family val="2"/>
      </rPr>
      <t>MRI</t>
    </r>
    <r>
      <rPr>
        <sz val="9"/>
        <rFont val="Arial"/>
        <family val="2"/>
      </rPr>
      <t xml:space="preserve"> undertaken is </t>
    </r>
    <r>
      <rPr>
        <b/>
        <sz val="9"/>
        <rFont val="Arial"/>
        <family val="2"/>
      </rPr>
      <t>complex</t>
    </r>
    <r>
      <rPr>
        <sz val="9"/>
        <rFont val="Arial"/>
        <family val="2"/>
      </rPr>
      <t xml:space="preserve"> to report</t>
    </r>
    <r>
      <rPr>
        <b/>
        <sz val="9"/>
        <rFont val="Arial"/>
        <family val="2"/>
      </rPr>
      <t xml:space="preserve">, </t>
    </r>
    <r>
      <rPr>
        <sz val="9"/>
        <rFont val="Arial"/>
        <family val="2"/>
      </rPr>
      <t>and</t>
    </r>
  </si>
  <si>
    <r>
      <t xml:space="preserve">of all </t>
    </r>
    <r>
      <rPr>
        <b/>
        <sz val="9"/>
        <rFont val="Arial"/>
        <family val="2"/>
      </rPr>
      <t>MRI</t>
    </r>
    <r>
      <rPr>
        <sz val="9"/>
        <rFont val="Arial"/>
        <family val="2"/>
      </rPr>
      <t xml:space="preserve"> undertaken is </t>
    </r>
    <r>
      <rPr>
        <b/>
        <sz val="9"/>
        <rFont val="Arial"/>
        <family val="2"/>
      </rPr>
      <t>simple</t>
    </r>
    <r>
      <rPr>
        <sz val="9"/>
        <rFont val="Arial"/>
        <family val="2"/>
      </rPr>
      <t xml:space="preserve"> to report </t>
    </r>
    <r>
      <rPr>
        <i/>
        <sz val="9"/>
        <rFont val="Arial"/>
        <family val="2"/>
      </rPr>
      <t>(RCR definitions of average time required to report)</t>
    </r>
  </si>
  <si>
    <r>
      <t xml:space="preserve">reported by </t>
    </r>
    <r>
      <rPr>
        <b/>
        <sz val="9"/>
        <rFont val="Arial"/>
        <family val="2"/>
      </rPr>
      <t>Consultant Radiologists</t>
    </r>
  </si>
  <si>
    <r>
      <t>Equivalent WTE Consultant Radiologists required, based on projected exam requests (</t>
    </r>
    <r>
      <rPr>
        <b/>
        <sz val="9"/>
        <color rgb="FF333333"/>
        <rFont val="Arial"/>
        <family val="2"/>
      </rPr>
      <t>not</t>
    </r>
    <r>
      <rPr>
        <sz val="9"/>
        <color rgb="FF333333"/>
        <rFont val="Arial"/>
        <family val="2"/>
      </rPr>
      <t xml:space="preserve"> COVID-adjusted)</t>
    </r>
  </si>
  <si>
    <r>
      <t xml:space="preserve">Equivalent WTE </t>
    </r>
    <r>
      <rPr>
        <b/>
        <sz val="9"/>
        <color rgb="FF333333"/>
        <rFont val="Arial"/>
        <family val="2"/>
      </rPr>
      <t>Reporting Radiographers</t>
    </r>
    <r>
      <rPr>
        <sz val="9"/>
        <color rgb="FF333333"/>
        <rFont val="Arial"/>
        <family val="2"/>
      </rPr>
      <t xml:space="preserve"> required, based on projected exam requests (</t>
    </r>
    <r>
      <rPr>
        <b/>
        <sz val="9"/>
        <color rgb="FF333333"/>
        <rFont val="Arial"/>
        <family val="2"/>
      </rPr>
      <t xml:space="preserve">not </t>
    </r>
    <r>
      <rPr>
        <sz val="9"/>
        <color rgb="FF333333"/>
        <rFont val="Arial"/>
        <family val="2"/>
      </rPr>
      <t>COVID-adjusted)</t>
    </r>
  </si>
  <si>
    <t>ALL (Lower projected)</t>
  </si>
  <si>
    <t>ALL (Upper projected)</t>
  </si>
  <si>
    <r>
      <t xml:space="preserve">Equivalent WTE Consultant </t>
    </r>
    <r>
      <rPr>
        <b/>
        <sz val="9"/>
        <color rgb="FF333333"/>
        <rFont val="Arial"/>
        <family val="2"/>
      </rPr>
      <t>Radiologists</t>
    </r>
    <r>
      <rPr>
        <sz val="9"/>
        <color rgb="FF333333"/>
        <rFont val="Arial"/>
        <family val="2"/>
      </rPr>
      <t xml:space="preserve"> req.</t>
    </r>
  </si>
  <si>
    <r>
      <t>Equivalent WTE Consultant Radiologists required, based on projected exam requests (</t>
    </r>
    <r>
      <rPr>
        <b/>
        <sz val="9"/>
        <color rgb="FF333333"/>
        <rFont val="Arial"/>
        <family val="2"/>
      </rPr>
      <t>COVID-adjusted</t>
    </r>
    <r>
      <rPr>
        <sz val="9"/>
        <color rgb="FF333333"/>
        <rFont val="Arial"/>
        <family val="2"/>
      </rPr>
      <t>)</t>
    </r>
  </si>
  <si>
    <r>
      <t xml:space="preserve">Equivalent WTE </t>
    </r>
    <r>
      <rPr>
        <b/>
        <sz val="9"/>
        <color rgb="FF333333"/>
        <rFont val="Arial"/>
        <family val="2"/>
      </rPr>
      <t>Reporting Radiographers</t>
    </r>
    <r>
      <rPr>
        <sz val="9"/>
        <color rgb="FF333333"/>
        <rFont val="Arial"/>
        <family val="2"/>
      </rPr>
      <t xml:space="preserve"> req.</t>
    </r>
  </si>
  <si>
    <r>
      <t xml:space="preserve">Equivalent WTE </t>
    </r>
    <r>
      <rPr>
        <b/>
        <sz val="9"/>
        <color rgb="FF333333"/>
        <rFont val="Arial"/>
        <family val="2"/>
      </rPr>
      <t>Reporting Radiographers</t>
    </r>
    <r>
      <rPr>
        <sz val="9"/>
        <color rgb="FF333333"/>
        <rFont val="Arial"/>
        <family val="2"/>
      </rPr>
      <t xml:space="preserve"> required, based on projected exam requests (</t>
    </r>
    <r>
      <rPr>
        <b/>
        <sz val="9"/>
        <color rgb="FF333333"/>
        <rFont val="Arial"/>
        <family val="2"/>
      </rPr>
      <t>COVID-adjusted</t>
    </r>
    <r>
      <rPr>
        <sz val="9"/>
        <color rgb="FF333333"/>
        <rFont val="Arial"/>
        <family val="2"/>
      </rPr>
      <t>)</t>
    </r>
  </si>
  <si>
    <t>WTE Establishment (Consultants)</t>
  </si>
  <si>
    <t>WTE Staff In Post (Consultants)</t>
  </si>
  <si>
    <r>
      <t xml:space="preserve">undertaken by </t>
    </r>
    <r>
      <rPr>
        <b/>
        <sz val="9"/>
        <rFont val="Arial"/>
        <family val="2"/>
      </rPr>
      <t>Consultant</t>
    </r>
    <r>
      <rPr>
        <sz val="9"/>
        <rFont val="Arial"/>
        <family val="2"/>
      </rPr>
      <t xml:space="preserve"> </t>
    </r>
    <r>
      <rPr>
        <b/>
        <sz val="11"/>
        <rFont val="Calibri"/>
        <family val="2"/>
      </rPr>
      <t>Radiologists</t>
    </r>
  </si>
  <si>
    <r>
      <t>Equivalent WTE Diagnostic Radiographers required, based on projected exam requests (</t>
    </r>
    <r>
      <rPr>
        <b/>
        <sz val="9"/>
        <color rgb="FF333333"/>
        <rFont val="Arial"/>
        <family val="2"/>
      </rPr>
      <t xml:space="preserve">not </t>
    </r>
    <r>
      <rPr>
        <sz val="9"/>
        <color rgb="FF333333"/>
        <rFont val="Arial"/>
        <family val="2"/>
      </rPr>
      <t>COVID-adjusted)</t>
    </r>
  </si>
  <si>
    <t>Equivalent WTE Diagnostic Radiographers required, based on actual exam requests</t>
  </si>
  <si>
    <t>*calculating to run continuously whilst allowing for staff breaks</t>
  </si>
  <si>
    <t>MRI</t>
  </si>
  <si>
    <t>ALL Band 5</t>
  </si>
  <si>
    <t>ALL Band 6 (Lower)</t>
  </si>
  <si>
    <t>ALL Band 6 (Upper)</t>
  </si>
  <si>
    <r>
      <t>Equivalent WTE Diagnostic Radiographers required, based on projected exam requests (</t>
    </r>
    <r>
      <rPr>
        <b/>
        <sz val="9"/>
        <color rgb="FF333333"/>
        <rFont val="Arial"/>
        <family val="2"/>
      </rPr>
      <t>COVID-adjusted</t>
    </r>
    <r>
      <rPr>
        <sz val="9"/>
        <color rgb="FF333333"/>
        <rFont val="Arial"/>
        <family val="2"/>
      </rPr>
      <t>)</t>
    </r>
  </si>
  <si>
    <t>Equivalent WTE Diagnostic Radiographers req.</t>
  </si>
  <si>
    <t>enter figures</t>
  </si>
  <si>
    <t>Upper Projected</t>
  </si>
  <si>
    <t>Lower Projected</t>
  </si>
  <si>
    <t>Mammography (symptomatic)</t>
  </si>
  <si>
    <t>MAMMOGRAPHY (symptomatic)</t>
  </si>
  <si>
    <t>ULTRASOUND (non-obstetric)</t>
  </si>
  <si>
    <t>sessions, or</t>
  </si>
  <si>
    <r>
      <t xml:space="preserve">days, </t>
    </r>
    <r>
      <rPr>
        <sz val="9"/>
        <color rgb="FF333333"/>
        <rFont val="Arial"/>
        <family val="2"/>
      </rPr>
      <t>or</t>
    </r>
  </si>
  <si>
    <t>hours, or</t>
  </si>
  <si>
    <t>capacity, or</t>
  </si>
  <si>
    <r>
      <t>days,</t>
    </r>
    <r>
      <rPr>
        <sz val="9"/>
        <color rgb="FF333333"/>
        <rFont val="Arial"/>
        <family val="2"/>
      </rPr>
      <t xml:space="preserve"> or</t>
    </r>
  </si>
  <si>
    <r>
      <t xml:space="preserve">of all </t>
    </r>
    <r>
      <rPr>
        <b/>
        <sz val="9"/>
        <rFont val="Arial"/>
        <family val="2"/>
      </rPr>
      <t>Nuclear Medicine</t>
    </r>
    <r>
      <rPr>
        <sz val="9"/>
        <rFont val="Arial"/>
        <family val="2"/>
      </rPr>
      <t xml:space="preserve"> is acquired by </t>
    </r>
    <r>
      <rPr>
        <b/>
        <sz val="9"/>
        <rFont val="Arial"/>
        <family val="2"/>
      </rPr>
      <t>Diagnostic Radiographers</t>
    </r>
    <r>
      <rPr>
        <sz val="9"/>
        <rFont val="Arial"/>
        <family val="2"/>
      </rPr>
      <t>, with the remaining</t>
    </r>
  </si>
  <si>
    <r>
      <t xml:space="preserve">Interventional </t>
    </r>
    <r>
      <rPr>
        <i/>
        <sz val="9"/>
        <color rgb="FF333333"/>
        <rFont val="Arial"/>
        <family val="2"/>
      </rPr>
      <t>(based on demand)</t>
    </r>
  </si>
  <si>
    <r>
      <t xml:space="preserve">Interventional </t>
    </r>
    <r>
      <rPr>
        <i/>
        <sz val="9"/>
        <color rgb="FF333333"/>
        <rFont val="Arial"/>
        <family val="2"/>
      </rPr>
      <t>(additional on call provision)</t>
    </r>
  </si>
  <si>
    <t>Staff Group</t>
  </si>
  <si>
    <t>Bands 2/3</t>
  </si>
  <si>
    <t>Assistant Practitioners</t>
  </si>
  <si>
    <t>CSWs (Lower projected)</t>
  </si>
  <si>
    <t>CSWs (Upper projected)</t>
  </si>
  <si>
    <t>Lower projected</t>
  </si>
  <si>
    <t>Upper projected</t>
  </si>
  <si>
    <t>Bands 2/3 (Lower)</t>
  </si>
  <si>
    <t>Bands 2/3 (Upper)</t>
  </si>
  <si>
    <r>
      <t>days</t>
    </r>
    <r>
      <rPr>
        <sz val="9"/>
        <color rgb="FF333333"/>
        <rFont val="Arial"/>
        <family val="2"/>
      </rPr>
      <t>, or</t>
    </r>
  </si>
  <si>
    <r>
      <t xml:space="preserve">Interventional </t>
    </r>
    <r>
      <rPr>
        <i/>
        <sz val="9"/>
        <color rgb="FF333333"/>
        <rFont val="Arial"/>
        <family val="2"/>
      </rPr>
      <t>(required to staff Cardiology labs)</t>
    </r>
  </si>
  <si>
    <t>Exams per Session</t>
  </si>
  <si>
    <t>Modelling on the basis that</t>
  </si>
  <si>
    <t>NB: For the purposes of modelling, 'X-ray' excludes DXA and mammography exams</t>
  </si>
  <si>
    <r>
      <t xml:space="preserve">of </t>
    </r>
    <r>
      <rPr>
        <b/>
        <sz val="9"/>
        <rFont val="Arial"/>
        <family val="2"/>
      </rPr>
      <t>X-ray</t>
    </r>
    <r>
      <rPr>
        <sz val="9"/>
        <rFont val="Arial"/>
        <family val="2"/>
      </rPr>
      <t xml:space="preserve"> undertaken </t>
    </r>
    <r>
      <rPr>
        <b/>
        <sz val="9"/>
        <rFont val="Arial"/>
        <family val="2"/>
      </rPr>
      <t>does</t>
    </r>
    <r>
      <rPr>
        <sz val="9"/>
        <rFont val="Arial"/>
        <family val="2"/>
      </rPr>
      <t xml:space="preserve"> </t>
    </r>
    <r>
      <rPr>
        <b/>
        <sz val="9"/>
        <rFont val="Arial"/>
        <family val="2"/>
      </rPr>
      <t>not require</t>
    </r>
    <r>
      <rPr>
        <sz val="9"/>
        <rFont val="Arial"/>
        <family val="2"/>
      </rPr>
      <t xml:space="preserve"> a report </t>
    </r>
    <r>
      <rPr>
        <i/>
        <sz val="9"/>
        <rFont val="Arial"/>
        <family val="2"/>
      </rPr>
      <t>(i.e. is auto-reported)</t>
    </r>
  </si>
  <si>
    <r>
      <t xml:space="preserve">of </t>
    </r>
    <r>
      <rPr>
        <b/>
        <sz val="9"/>
        <rFont val="Arial"/>
        <family val="2"/>
      </rPr>
      <t>X-ray</t>
    </r>
    <r>
      <rPr>
        <sz val="9"/>
        <rFont val="Arial"/>
        <family val="2"/>
      </rPr>
      <t xml:space="preserve"> undertaken is classified as </t>
    </r>
    <r>
      <rPr>
        <b/>
        <sz val="9"/>
        <rFont val="Arial"/>
        <family val="2"/>
      </rPr>
      <t>MSK</t>
    </r>
    <r>
      <rPr>
        <sz val="9"/>
        <rFont val="Arial"/>
        <family val="2"/>
      </rPr>
      <t>, and</t>
    </r>
  </si>
  <si>
    <r>
      <t xml:space="preserve">of </t>
    </r>
    <r>
      <rPr>
        <b/>
        <sz val="9"/>
        <rFont val="Arial"/>
        <family val="2"/>
      </rPr>
      <t>X-ray</t>
    </r>
    <r>
      <rPr>
        <sz val="9"/>
        <rFont val="Arial"/>
        <family val="2"/>
      </rPr>
      <t xml:space="preserve"> undertaken is classified as</t>
    </r>
    <r>
      <rPr>
        <b/>
        <sz val="9"/>
        <rFont val="Arial"/>
        <family val="2"/>
      </rPr>
      <t xml:space="preserve"> Non-MSK</t>
    </r>
    <r>
      <rPr>
        <sz val="9"/>
        <rFont val="Arial"/>
        <family val="2"/>
      </rPr>
      <t xml:space="preserve"> </t>
    </r>
    <r>
      <rPr>
        <i/>
        <sz val="9"/>
        <rFont val="Arial"/>
        <family val="2"/>
      </rPr>
      <t>(for the purposes of Reporting Radiographer scope analysis)</t>
    </r>
  </si>
  <si>
    <r>
      <t xml:space="preserve">of all (non-obstetric) </t>
    </r>
    <r>
      <rPr>
        <b/>
        <sz val="9"/>
        <rFont val="Arial"/>
        <family val="2"/>
      </rPr>
      <t>Ultrasound</t>
    </r>
    <r>
      <rPr>
        <sz val="9"/>
        <rFont val="Arial"/>
        <family val="2"/>
      </rPr>
      <t xml:space="preserve"> is undertaken by </t>
    </r>
    <r>
      <rPr>
        <b/>
        <sz val="9"/>
        <rFont val="Arial"/>
        <family val="2"/>
      </rPr>
      <t>Sonographers</t>
    </r>
    <r>
      <rPr>
        <sz val="9"/>
        <rFont val="Arial"/>
        <family val="2"/>
      </rPr>
      <t xml:space="preserve"> within Diagnostic Radiography, with the remaining</t>
    </r>
  </si>
  <si>
    <r>
      <t xml:space="preserve">acquired by </t>
    </r>
    <r>
      <rPr>
        <b/>
        <sz val="9"/>
        <rFont val="Arial"/>
        <family val="2"/>
      </rPr>
      <t>Medical Physics Technicians</t>
    </r>
    <r>
      <rPr>
        <sz val="9"/>
        <rFont val="Arial"/>
        <family val="2"/>
      </rPr>
      <t xml:space="preserve"> or similar staff</t>
    </r>
  </si>
  <si>
    <t>automatically calculates</t>
  </si>
  <si>
    <t>MODALITY DATA  -  METRICS</t>
  </si>
  <si>
    <t>WORKFORCE SKILL MIX  -  ASSUMPTIONS</t>
  </si>
  <si>
    <r>
      <t xml:space="preserve">of all </t>
    </r>
    <r>
      <rPr>
        <b/>
        <sz val="9"/>
        <rFont val="Arial"/>
        <family val="2"/>
      </rPr>
      <t>Mammography</t>
    </r>
    <r>
      <rPr>
        <sz val="9"/>
        <rFont val="Arial"/>
        <family val="2"/>
      </rPr>
      <t xml:space="preserve"> (sympt.) is reported by </t>
    </r>
    <r>
      <rPr>
        <b/>
        <sz val="9"/>
        <rFont val="Arial"/>
        <family val="2"/>
      </rPr>
      <t>Reporting Radiographers</t>
    </r>
    <r>
      <rPr>
        <sz val="9"/>
        <rFont val="Arial"/>
        <family val="2"/>
      </rPr>
      <t>, with the remaining</t>
    </r>
  </si>
  <si>
    <t>ARTIFICIAL INTELLIGENCE  -  SCENARIO MODELLING</t>
  </si>
  <si>
    <t>Modelling a scenario for</t>
  </si>
  <si>
    <t>X-ray (Plain Film/Mobiles/Theatre)</t>
  </si>
  <si>
    <t>Interventional Radiology</t>
  </si>
  <si>
    <t>This applies to 10 Boards across NHS Scotland</t>
  </si>
  <si>
    <r>
      <rPr>
        <b/>
        <sz val="9"/>
        <color theme="1"/>
        <rFont val="Arial"/>
        <family val="2"/>
      </rPr>
      <t>Band 7</t>
    </r>
    <r>
      <rPr>
        <sz val="9"/>
        <color theme="1"/>
        <rFont val="Arial"/>
        <family val="2"/>
      </rPr>
      <t xml:space="preserve"> </t>
    </r>
    <r>
      <rPr>
        <i/>
        <sz val="9"/>
        <color theme="1"/>
        <rFont val="Arial"/>
        <family val="2"/>
      </rPr>
      <t>(excl. sonographers, RR)</t>
    </r>
  </si>
  <si>
    <t>Less sick leave</t>
  </si>
  <si>
    <t>Year-on-Year Increase</t>
  </si>
  <si>
    <t>DEMAND SCENARIO 1</t>
  </si>
  <si>
    <t>DEMAND SCENARIO 2</t>
  </si>
  <si>
    <t>ACTIVITY</t>
  </si>
  <si>
    <r>
      <t xml:space="preserve">Projected number of exam requests based on year-on-year demand increase per modality </t>
    </r>
    <r>
      <rPr>
        <b/>
        <sz val="9"/>
        <color rgb="FF333333"/>
        <rFont val="Arial"/>
        <family val="2"/>
      </rPr>
      <t>without</t>
    </r>
    <r>
      <rPr>
        <sz val="9"/>
        <color rgb="FF333333"/>
        <rFont val="Arial"/>
        <family val="2"/>
      </rPr>
      <t xml:space="preserve"> accounting for assumed missing COVID activity</t>
    </r>
  </si>
  <si>
    <r>
      <t xml:space="preserve">Projected number of exam requests based on year-on-year demand increase per modality after adjusting for </t>
    </r>
    <r>
      <rPr>
        <b/>
        <sz val="9"/>
        <color rgb="FF333333"/>
        <rFont val="Arial"/>
        <family val="2"/>
      </rPr>
      <t>assumed missing COVID activity</t>
    </r>
  </si>
  <si>
    <r>
      <t xml:space="preserve">of </t>
    </r>
    <r>
      <rPr>
        <b/>
        <sz val="9"/>
        <rFont val="Arial"/>
        <family val="2"/>
      </rPr>
      <t>X-ray</t>
    </r>
    <r>
      <rPr>
        <sz val="9"/>
        <rFont val="Arial"/>
        <family val="2"/>
      </rPr>
      <t xml:space="preserve"> undertaken are </t>
    </r>
    <r>
      <rPr>
        <b/>
        <sz val="9"/>
        <rFont val="Arial"/>
        <family val="2"/>
      </rPr>
      <t>XR CHEST</t>
    </r>
    <r>
      <rPr>
        <sz val="9"/>
        <rFont val="Arial"/>
        <family val="2"/>
      </rPr>
      <t xml:space="preserve"> examinations</t>
    </r>
  </si>
  <si>
    <r>
      <t xml:space="preserve">of all </t>
    </r>
    <r>
      <rPr>
        <b/>
        <sz val="9"/>
        <rFont val="Arial"/>
        <family val="2"/>
      </rPr>
      <t>XR Chest</t>
    </r>
    <r>
      <rPr>
        <sz val="9"/>
        <rFont val="Arial"/>
        <family val="2"/>
      </rPr>
      <t xml:space="preserve"> undertaken </t>
    </r>
    <r>
      <rPr>
        <b/>
        <sz val="9"/>
        <rFont val="Arial"/>
        <family val="2"/>
      </rPr>
      <t>not requiring a report</t>
    </r>
    <r>
      <rPr>
        <sz val="9"/>
        <rFont val="Arial"/>
        <family val="2"/>
      </rPr>
      <t xml:space="preserve"> by a Radiologist/Reporting Radiographer due to implementation of an AI product</t>
    </r>
  </si>
  <si>
    <r>
      <t xml:space="preserve">of all </t>
    </r>
    <r>
      <rPr>
        <b/>
        <sz val="9"/>
        <rFont val="Arial"/>
        <family val="2"/>
      </rPr>
      <t>MSK X-ray</t>
    </r>
    <r>
      <rPr>
        <sz val="9"/>
        <rFont val="Arial"/>
        <family val="2"/>
      </rPr>
      <t xml:space="preserve"> undertaken </t>
    </r>
    <r>
      <rPr>
        <b/>
        <sz val="9"/>
        <rFont val="Arial"/>
        <family val="2"/>
      </rPr>
      <t>not requiring a report</t>
    </r>
    <r>
      <rPr>
        <sz val="9"/>
        <rFont val="Arial"/>
        <family val="2"/>
      </rPr>
      <t xml:space="preserve"> by a Radiologist/Reporting Radiographer due to implementation of an AI product</t>
    </r>
  </si>
  <si>
    <r>
      <t xml:space="preserve">of all </t>
    </r>
    <r>
      <rPr>
        <b/>
        <sz val="9"/>
        <rFont val="Arial"/>
        <family val="2"/>
      </rPr>
      <t>DEXA</t>
    </r>
    <r>
      <rPr>
        <sz val="9"/>
        <rFont val="Arial"/>
        <family val="2"/>
      </rPr>
      <t xml:space="preserve"> undertaken </t>
    </r>
    <r>
      <rPr>
        <b/>
        <sz val="9"/>
        <rFont val="Arial"/>
        <family val="2"/>
      </rPr>
      <t>not required</t>
    </r>
    <r>
      <rPr>
        <sz val="9"/>
        <rFont val="Arial"/>
        <family val="2"/>
      </rPr>
      <t xml:space="preserve"> (acquisition nor reporting) due to implementation of an AI product</t>
    </r>
  </si>
  <si>
    <t>é</t>
  </si>
  <si>
    <t>(figures will populate from table above)</t>
  </si>
  <si>
    <t>X-ray</t>
  </si>
  <si>
    <r>
      <t xml:space="preserve">Equivalent WTE </t>
    </r>
    <r>
      <rPr>
        <b/>
        <sz val="9"/>
        <color rgb="FF333333"/>
        <rFont val="Arial"/>
        <family val="2"/>
      </rPr>
      <t>Reporting Radiographers</t>
    </r>
    <r>
      <rPr>
        <sz val="9"/>
        <color rgb="FF333333"/>
        <rFont val="Arial"/>
        <family val="2"/>
      </rPr>
      <t xml:space="preserve"> required, based on actual exam requests</t>
    </r>
  </si>
  <si>
    <r>
      <t xml:space="preserve">Equivalent WTE </t>
    </r>
    <r>
      <rPr>
        <b/>
        <sz val="9"/>
        <color rgb="FF333333"/>
        <rFont val="Arial"/>
        <family val="2"/>
      </rPr>
      <t>Consultant</t>
    </r>
    <r>
      <rPr>
        <sz val="9"/>
        <color rgb="FF333333"/>
        <rFont val="Arial"/>
        <family val="2"/>
      </rPr>
      <t xml:space="preserve"> </t>
    </r>
    <r>
      <rPr>
        <b/>
        <sz val="9"/>
        <color rgb="FF333333"/>
        <rFont val="Arial"/>
        <family val="2"/>
      </rPr>
      <t>Radiologists</t>
    </r>
    <r>
      <rPr>
        <sz val="9"/>
        <color rgb="FF333333"/>
        <rFont val="Arial"/>
        <family val="2"/>
      </rPr>
      <t xml:space="preserve"> required, based on actual exam requests</t>
    </r>
  </si>
  <si>
    <t>Bands 2-4</t>
  </si>
  <si>
    <r>
      <t xml:space="preserve">of the remaining </t>
    </r>
    <r>
      <rPr>
        <b/>
        <sz val="9"/>
        <rFont val="Arial"/>
        <family val="2"/>
      </rPr>
      <t>MSK</t>
    </r>
    <r>
      <rPr>
        <sz val="9"/>
        <rFont val="Arial"/>
        <family val="2"/>
      </rPr>
      <t xml:space="preserve"> </t>
    </r>
    <r>
      <rPr>
        <b/>
        <sz val="9"/>
        <rFont val="Arial"/>
        <family val="2"/>
      </rPr>
      <t>X-ray</t>
    </r>
    <r>
      <rPr>
        <sz val="9"/>
        <rFont val="Arial"/>
        <family val="2"/>
      </rPr>
      <t xml:space="preserve"> is reported by </t>
    </r>
    <r>
      <rPr>
        <b/>
        <sz val="9"/>
        <rFont val="Arial"/>
        <family val="2"/>
      </rPr>
      <t>Reporting Radiographers</t>
    </r>
    <r>
      <rPr>
        <sz val="9"/>
        <rFont val="Arial"/>
        <family val="2"/>
      </rPr>
      <t>, and</t>
    </r>
  </si>
  <si>
    <r>
      <t xml:space="preserve">is reported by </t>
    </r>
    <r>
      <rPr>
        <b/>
        <sz val="9"/>
        <rFont val="Arial"/>
        <family val="2"/>
      </rPr>
      <t>Consultant Radiologists</t>
    </r>
  </si>
  <si>
    <r>
      <t xml:space="preserve">of the remaining </t>
    </r>
    <r>
      <rPr>
        <b/>
        <sz val="9"/>
        <rFont val="Arial"/>
        <family val="2"/>
      </rPr>
      <t>Non-MSK</t>
    </r>
    <r>
      <rPr>
        <sz val="9"/>
        <rFont val="Arial"/>
        <family val="2"/>
      </rPr>
      <t xml:space="preserve"> </t>
    </r>
    <r>
      <rPr>
        <b/>
        <sz val="9"/>
        <rFont val="Arial"/>
        <family val="2"/>
      </rPr>
      <t xml:space="preserve">X-ray </t>
    </r>
    <r>
      <rPr>
        <i/>
        <sz val="9"/>
        <rFont val="Arial"/>
        <family val="2"/>
      </rPr>
      <t>(excluding XR Chest)</t>
    </r>
    <r>
      <rPr>
        <sz val="9"/>
        <rFont val="Arial"/>
        <family val="2"/>
      </rPr>
      <t xml:space="preserve"> is reported by </t>
    </r>
    <r>
      <rPr>
        <b/>
        <sz val="9"/>
        <rFont val="Arial"/>
        <family val="2"/>
      </rPr>
      <t>Reporting Radiographers</t>
    </r>
    <r>
      <rPr>
        <sz val="9"/>
        <rFont val="Arial"/>
        <family val="2"/>
      </rPr>
      <t>, and</t>
    </r>
  </si>
  <si>
    <r>
      <t xml:space="preserve">of the remaining </t>
    </r>
    <r>
      <rPr>
        <b/>
        <sz val="9"/>
        <rFont val="Arial"/>
        <family val="2"/>
      </rPr>
      <t>XR Chest</t>
    </r>
    <r>
      <rPr>
        <sz val="9"/>
        <rFont val="Arial"/>
        <family val="2"/>
      </rPr>
      <t xml:space="preserve"> is reported by </t>
    </r>
    <r>
      <rPr>
        <b/>
        <sz val="9"/>
        <rFont val="Arial"/>
        <family val="2"/>
      </rPr>
      <t>Reporting Radiographers</t>
    </r>
    <r>
      <rPr>
        <sz val="9"/>
        <rFont val="Arial"/>
        <family val="2"/>
      </rPr>
      <t>, and</t>
    </r>
  </si>
  <si>
    <r>
      <t xml:space="preserve">of the remaining </t>
    </r>
    <r>
      <rPr>
        <b/>
        <sz val="9"/>
        <rFont val="Arial"/>
        <family val="2"/>
      </rPr>
      <t xml:space="preserve">DEXA </t>
    </r>
    <r>
      <rPr>
        <sz val="9"/>
        <rFont val="Arial"/>
        <family val="2"/>
      </rPr>
      <t xml:space="preserve">is reported by </t>
    </r>
    <r>
      <rPr>
        <b/>
        <sz val="9"/>
        <rFont val="Arial"/>
        <family val="2"/>
      </rPr>
      <t>Reporting Radiographers</t>
    </r>
    <r>
      <rPr>
        <sz val="9"/>
        <rFont val="Arial"/>
        <family val="2"/>
      </rPr>
      <t>, and</t>
    </r>
  </si>
  <si>
    <t>ALL Support (Lower projected)</t>
  </si>
  <si>
    <t>ALL Support (Upper projected)</t>
  </si>
  <si>
    <t>ALL Support (Lower)</t>
  </si>
  <si>
    <t>ALL Support (Upper)</t>
  </si>
  <si>
    <t>Band 7 Additional (Lower)</t>
  </si>
  <si>
    <t>Band 7 Additional (Upper)</t>
  </si>
  <si>
    <t>GRAPH INPUT DATA</t>
  </si>
  <si>
    <t>Lower Projected Demand (No COVID adjustment)</t>
  </si>
  <si>
    <t>Upper Projected Demand (No COVID adjustment)</t>
  </si>
  <si>
    <t>Lower Projected Demand (COVID-adjusted)</t>
  </si>
  <si>
    <t>Upper Projected Demand (COVID-adjusted)</t>
  </si>
  <si>
    <t>Activity Performed (Actual Exam Requests)</t>
  </si>
  <si>
    <t>Projected Demand - Band 5 (No COVID adjustment)</t>
  </si>
  <si>
    <t>Activity Performed - Band 5 (Actual Exam Requests)</t>
  </si>
  <si>
    <t>Activity Performed - Band 6 (Actual Exam Requests)</t>
  </si>
  <si>
    <t>Projected Demand - Band 5 (COVID-adjusted)</t>
  </si>
  <si>
    <t>Lower Projected Demand - Band 6 (No COVID adjustment)</t>
  </si>
  <si>
    <t>Upper Projected Demand - Band 6 (No COVID adjustment)</t>
  </si>
  <si>
    <t>Lower Projected Demand - Band 6 (COVID-adjusted)</t>
  </si>
  <si>
    <t>Upper Projected Demand - Band 6 (COVID-adjusted)</t>
  </si>
  <si>
    <t>WTE Staff In Post - Band 5 (As at 30/09)</t>
  </si>
  <si>
    <t>WTE Staff In Post - Band 6 (As at 30/09)</t>
  </si>
  <si>
    <t>WTE Staff In Post - Band 7 (As at 30/09)</t>
  </si>
  <si>
    <t>WTE Establishment - All Support  (As at 30/09)</t>
  </si>
  <si>
    <t>WTE Staff In Post - All Support (As at 30/09)</t>
  </si>
  <si>
    <t>WTE Staff In Post - Band 2 (As at 30/09)</t>
  </si>
  <si>
    <t>WTE Staff In Post - Band 3 (As at 30/09)</t>
  </si>
  <si>
    <t>WTE Staff In Post - Band 4 (As at 30/09)</t>
  </si>
  <si>
    <t>Activity Performed - Bands 2/3 (Actual Exam Requests)</t>
  </si>
  <si>
    <t>Activity Performed - Band 4 (Actual Exam Requests)</t>
  </si>
  <si>
    <t>Activity Performed - Band 7 excl. RR, Sonographers (Actual Exam Requests)</t>
  </si>
  <si>
    <t>Lower Projected Demand - Bands 2/3 (No COVID adjustment)</t>
  </si>
  <si>
    <t>Upper Projected Demand - Bands 2/3 (No COVID adjustment)</t>
  </si>
  <si>
    <t>Lower Projected Demand - Bands 2/3 (COVID-adjusted)</t>
  </si>
  <si>
    <t>Upper Projected Demand - Bands 2/3 (COVID-adjusted)</t>
  </si>
  <si>
    <t>Projected Demand - Band 4 (No COVID adjustment)</t>
  </si>
  <si>
    <t>Projected Demand - Band 4 (COVID-adjusted)</t>
  </si>
  <si>
    <t>Lower Projected Demand - Band 7 excl. RR, Sonographers (No COVID adjustment)</t>
  </si>
  <si>
    <t>Upper Projected Demand - Band 7 excl. RR, Sonographers (No COVID adjustment)</t>
  </si>
  <si>
    <t>Lower Projected Demand - Band 7 excl. RR, Sonographers (COVID-adjusted)</t>
  </si>
  <si>
    <t>Upper Projected Demand - Band 7 excl. RR, Sonographers (COVID-adjusted)</t>
  </si>
  <si>
    <t>Activity Performed - Bands 5, 6 + 7 excl. RR, Sonographers (Actual Exam Requests)</t>
  </si>
  <si>
    <t>Lower Projected Demand - Bands 5, 6 + 7 excl. RR, Sonographers (No COVID adjustment)</t>
  </si>
  <si>
    <t>Upper Projected Demand - Bands 5, 6 + 7 excl. RR, Sonographers (No COVID adjustment)</t>
  </si>
  <si>
    <t>Lower Projected Demand - Bands 5, 6 + 7 excl. RR, Sonographers (COVID-adjusted)</t>
  </si>
  <si>
    <t>Upper Projected Demand - Bands 5, 6 + 7 excl. RR, Sonographers (COVID-adjusted)</t>
  </si>
  <si>
    <t>WTE Staff In Post - Bands 5, 6 + 7 (excl. assumed RRs, Sonographers)</t>
  </si>
  <si>
    <t>Activity Performed - Bands 2-4 (Actual Exam Requests)</t>
  </si>
  <si>
    <t>Lower Projected Demand - Bands 2-4 (No COVID adjustment)</t>
  </si>
  <si>
    <t>Upper Projected Demand - Bands 2-4 (No COVID adjustment)</t>
  </si>
  <si>
    <t>Lower Projected Demand - Bands 2-4 (COVID-adjusted)</t>
  </si>
  <si>
    <t>Upper Projected Demand - Bands 2-4 (COVID-adjusted)</t>
  </si>
  <si>
    <t>GRAPH INPUT DATA - CR</t>
  </si>
  <si>
    <t>GRAPH INPUT DATA - RR</t>
  </si>
  <si>
    <t>Projected Demand (No COVID adjustment)</t>
  </si>
  <si>
    <t>Projected Demand (COVID-adjusted)</t>
  </si>
  <si>
    <t>AfC Assumption Band 7</t>
  </si>
  <si>
    <t>WTE Staff Employment Forecast (Consultants)</t>
  </si>
  <si>
    <t>Median Projected Demand</t>
  </si>
  <si>
    <t>Median Demand Projection - Bands 5, 6 + 7 excl. RR, Sonographers</t>
  </si>
  <si>
    <t>Median Demand Projection</t>
  </si>
  <si>
    <t>Rationale behind SRTP Diagnostic Imaging Workforce Demand Modelling</t>
  </si>
  <si>
    <t>Main Sheet Location</t>
  </si>
  <si>
    <t>Name</t>
  </si>
  <si>
    <t>Description</t>
  </si>
  <si>
    <t>Source</t>
  </si>
  <si>
    <t>Links</t>
  </si>
  <si>
    <t>Input - Throughput</t>
  </si>
  <si>
    <t>Input - Capacity</t>
  </si>
  <si>
    <t>Image Acquisition - Diagnostic Radiographers</t>
  </si>
  <si>
    <t>Using image acquisition as the proxy measure, the average throughput expected by modality per WTE Diagnostic Radiographer, calculating based on the staff required to run equipment continuously while allowing for staff breaks</t>
  </si>
  <si>
    <t>The average throughput expected for undertaking interventional examinations, per WTE Radiologist or Diagnostic Radiographer</t>
  </si>
  <si>
    <t>Reporting - Consultant Radiologists</t>
  </si>
  <si>
    <t>Using reporting as the proxy measure, the average throughput expected by modality per WTE Consultant Radiologist</t>
  </si>
  <si>
    <t>Based on guidance provided by the Royal College of Radiologists (RCR), insourcing models within NHS Scotland including the South East Regional Radiology Insourcing Solution (SERRIS) and NHS GG&amp;C, and productivity models derived from private sector (outsourcing) costs to NHS Scotland</t>
  </si>
  <si>
    <t>Reporting - Reporting Radiographers</t>
  </si>
  <si>
    <t>Based on the minimum expectation stated within the 'National Framework for the Reporting Radiographer' by NHSScotland Shared Services Radiology Programme and the Scottish Clinical Imaging Network</t>
  </si>
  <si>
    <t>Ultrasound</t>
  </si>
  <si>
    <t>The average throughput expected for undertaking ultrasound examinations, including report, per WTE Sonographer or Radiologist</t>
  </si>
  <si>
    <t>RCR guidelines</t>
  </si>
  <si>
    <t>Framework</t>
  </si>
  <si>
    <t>Annual Leave</t>
  </si>
  <si>
    <t>Public Holidays</t>
  </si>
  <si>
    <t>Sickness Absence</t>
  </si>
  <si>
    <t>Study Leave</t>
  </si>
  <si>
    <t>Total Theoretical Working Days</t>
  </si>
  <si>
    <t>WTE Available Working Capacity</t>
  </si>
  <si>
    <t>WTE Consultant Radiologist - Reporting Capacity</t>
  </si>
  <si>
    <t>WTE Diagnostic Radiographer - Image Acquisition Capacity</t>
  </si>
  <si>
    <t>WTE Reporting Radiographer - Reporting Capacity</t>
  </si>
  <si>
    <t>WTE Sonographer - Capacity</t>
  </si>
  <si>
    <t>Number of days removed from available working capacity per WTE per year to account for annual leave</t>
  </si>
  <si>
    <t>33 days</t>
  </si>
  <si>
    <t>Standard annual leave allowance for medical staff; Agenda for Change staff (Radiographers) begin with an allowance of 28 days and reach 33 days after a set length of service and so this higher figure has been used</t>
  </si>
  <si>
    <t>Number of days removed from available working capacity per WTE per year to account for continuing professional development for Agenda for Change staff</t>
  </si>
  <si>
    <t>6 days</t>
  </si>
  <si>
    <t>Number of days removed from available working capacity per WTE per year to account for public holidays</t>
  </si>
  <si>
    <t>8 days</t>
  </si>
  <si>
    <t>Standard public holiday allowance for all staff</t>
  </si>
  <si>
    <t>Number of days removed from available working capacity per WTE per year to account for average sickness absence</t>
  </si>
  <si>
    <t>9 days</t>
  </si>
  <si>
    <t>NHS Scotland sickness absence target of 4%</t>
  </si>
  <si>
    <t>Number of days removed from available working capacity per WTE per year to account for medical study leave</t>
  </si>
  <si>
    <t>10 days</t>
  </si>
  <si>
    <t>Number of working days per year</t>
  </si>
  <si>
    <t>260 days</t>
  </si>
  <si>
    <t>Working days defined as Monday to Friday in a 52-week year</t>
  </si>
  <si>
    <t>Number of working days available per WTE per year after accounting for annual leave, public holidays, average sickness absence, and study leave or CPD</t>
  </si>
  <si>
    <t>Consultant Clinical Radiologist, Interventional Radiologist - 200 days
Diagnostic Radiographer, Reporting Radiographer, Sonographer - 204 days</t>
  </si>
  <si>
    <t>50% reporting
= 100 days or 800 hours</t>
  </si>
  <si>
    <t>Total capacity available for reporting per WTE per year after accounting for other duties</t>
  </si>
  <si>
    <t>60% reporting
= 122.4 days or 918 hours</t>
  </si>
  <si>
    <t>Total capacity available for Ultrasound (non-obstetric) image acquisition and reporting per WTE per year after accounting for other duties</t>
  </si>
  <si>
    <t>Input - Activity and Demand</t>
  </si>
  <si>
    <t>Examination Requests</t>
  </si>
  <si>
    <t>The number of examinations requested by NHS Board per year by NICIP modality</t>
  </si>
  <si>
    <t>NRIIP</t>
  </si>
  <si>
    <t>Projected Yearly Increase by Modality</t>
  </si>
  <si>
    <t>Expected % increase in demand per year by modality</t>
  </si>
  <si>
    <t>CT and MRI - Simple vs Complex</t>
  </si>
  <si>
    <r>
      <t xml:space="preserve">What % of CT and MRI examinations are categorised as simple versus complex in terms of time required to report; </t>
    </r>
    <r>
      <rPr>
        <b/>
        <sz val="9"/>
        <color theme="1"/>
        <rFont val="Arial"/>
        <family val="2"/>
      </rPr>
      <t>Simple</t>
    </r>
    <r>
      <rPr>
        <sz val="9"/>
        <color theme="1"/>
        <rFont val="Arial"/>
        <family val="2"/>
      </rPr>
      <t xml:space="preserve"> is defined as any examination within SERRIS Category 4 (Small Volume CT/MRI - 16 mins), and </t>
    </r>
    <r>
      <rPr>
        <b/>
        <sz val="9"/>
        <color theme="1"/>
        <rFont val="Arial"/>
        <family val="2"/>
      </rPr>
      <t>complex</t>
    </r>
    <r>
      <rPr>
        <sz val="9"/>
        <color theme="1"/>
        <rFont val="Arial"/>
        <family val="2"/>
      </rPr>
      <t xml:space="preserve"> is defined as any examination above this including Category 5 (Intermediate CT/MRI - 20.5 mins), Category 6 (Complex CT/MRI - 25.5 mins) and Category 7 (4-Part CT/MRI - 30 mins)</t>
    </r>
  </si>
  <si>
    <r>
      <rPr>
        <b/>
        <sz val="9"/>
        <color theme="1"/>
        <rFont val="Arial"/>
        <family val="2"/>
      </rPr>
      <t xml:space="preserve">CT </t>
    </r>
    <r>
      <rPr>
        <sz val="9"/>
        <color theme="1"/>
        <rFont val="Arial"/>
        <family val="2"/>
      </rPr>
      <t xml:space="preserve">50% simple, 50% complex
</t>
    </r>
    <r>
      <rPr>
        <b/>
        <sz val="9"/>
        <color theme="1"/>
        <rFont val="Arial"/>
        <family val="2"/>
      </rPr>
      <t xml:space="preserve">MRI </t>
    </r>
    <r>
      <rPr>
        <sz val="9"/>
        <color theme="1"/>
        <rFont val="Arial"/>
        <family val="2"/>
      </rPr>
      <t>40% simple, 60% complex</t>
    </r>
  </si>
  <si>
    <t>An analysis of all Scotland CT and MRI examination data as defined within RIS and submitted to NRIIP from April 2017 to March 2022, combined with exam description payment category data from SNRRS Bank obtained September 2022 which is based upon the SERRIS Complexity Categories</t>
  </si>
  <si>
    <t>Auto-Reporting</t>
  </si>
  <si>
    <t>Radiology review</t>
  </si>
  <si>
    <t>Ultrasound - Sonographers vs Radiologists</t>
  </si>
  <si>
    <t>What % of Ultrasound (non-obstetric) examinations are undertaken by Sonographers versus Consultant Radiologists</t>
  </si>
  <si>
    <t>Nuclear Medicine - Diagnostic Radiographers vs Technologists</t>
  </si>
  <si>
    <t>What % of Nuclear Medicine examinations are undertaken by Diagnostic Radiographers versus Medical Physics Technicians or other staff groups</t>
  </si>
  <si>
    <r>
      <t xml:space="preserve">Input - Modelling Variables </t>
    </r>
    <r>
      <rPr>
        <b/>
        <sz val="9"/>
        <color theme="1"/>
        <rFont val="Arial"/>
        <family val="2"/>
      </rPr>
      <t>(3)</t>
    </r>
  </si>
  <si>
    <r>
      <t xml:space="preserve">Input - Modelling Variables </t>
    </r>
    <r>
      <rPr>
        <b/>
        <sz val="9"/>
        <color theme="1"/>
        <rFont val="Arial"/>
        <family val="2"/>
      </rPr>
      <t>(12)</t>
    </r>
  </si>
  <si>
    <r>
      <t xml:space="preserve">Input - Modelling Variables </t>
    </r>
    <r>
      <rPr>
        <b/>
        <sz val="9"/>
        <color theme="1"/>
        <rFont val="Arial"/>
        <family val="2"/>
      </rPr>
      <t>(11)</t>
    </r>
  </si>
  <si>
    <r>
      <t xml:space="preserve">Input - Modelling Variables </t>
    </r>
    <r>
      <rPr>
        <b/>
        <sz val="9"/>
        <color theme="1"/>
        <rFont val="Arial"/>
        <family val="2"/>
      </rPr>
      <t>(4)</t>
    </r>
  </si>
  <si>
    <r>
      <t xml:space="preserve">Input - Modelling Variables </t>
    </r>
    <r>
      <rPr>
        <b/>
        <sz val="9"/>
        <color theme="1"/>
        <rFont val="Arial"/>
        <family val="2"/>
      </rPr>
      <t>(6-10)</t>
    </r>
  </si>
  <si>
    <r>
      <t xml:space="preserve">Input - Modelling Variables </t>
    </r>
    <r>
      <rPr>
        <b/>
        <sz val="9"/>
        <rFont val="Arial"/>
        <family val="2"/>
      </rPr>
      <t>(1-2)</t>
    </r>
  </si>
  <si>
    <t>10% X-ray</t>
  </si>
  <si>
    <t>What % of X-ray examinations do not require a report by a Reporting Radiographer or Consultant Radiologist due to being auto-reported (Auto-reported examinations are those that the referrer interprets and adds findings to the patient notes as defined by the Care Quality Commission for England)</t>
  </si>
  <si>
    <t>What % of X-ray examinations are reported by Reporting Radiographers, with the remainder reported by Consultant Radiologists</t>
  </si>
  <si>
    <t>What % of X-ray examinations are categorised as MSK versus non-MSK (once Mammography and DXA have been removed)</t>
  </si>
  <si>
    <r>
      <rPr>
        <b/>
        <sz val="9"/>
        <color theme="1"/>
        <rFont val="Arial"/>
        <family val="2"/>
      </rPr>
      <t>Reports per Hour:</t>
    </r>
    <r>
      <rPr>
        <sz val="9"/>
        <color theme="1"/>
        <rFont val="Arial"/>
        <family val="2"/>
      </rPr>
      <t xml:space="preserve">
2.4 CT complex, MRI complex
3 Fluoroscopy
4 CT simple, MRI simple
6 Mammography, Nuclear Medicine
24 DEXA, X-ray</t>
    </r>
  </si>
  <si>
    <t>17 X-ray reports per hour</t>
  </si>
  <si>
    <t>Using reporting as the proxy measure, the average throughput expected for X-ray per WTE Reporting Radiographer</t>
  </si>
  <si>
    <t>Continuing Professional Development (CPD)</t>
  </si>
  <si>
    <t>As submitted by each NHS Board from local RIS to NRIIP (National Radiology Intelligence and Information Platform) at Public Health Scotland (PHS); Level 2 examination requests by Board of request from April 2017 to March 2022; Any examinations with an unmapped modality or from an unknown Board were excluded; Any obstetric Ultrasound examinations were excluded as determined by exam description; Any examinations for DEXA or Mammography have been isolated out from the X-ray figures and shown separately as determined by exam description; Data extract performed July 2022; Quality adjustments were made to dataset to correct for missing data</t>
  </si>
  <si>
    <t>SRTP Diagnostic Imaging Workforce Demand Modelling Tool</t>
  </si>
  <si>
    <r>
      <t xml:space="preserve">Less study leave </t>
    </r>
    <r>
      <rPr>
        <i/>
        <sz val="9"/>
        <color rgb="FF333333"/>
        <rFont val="Arial"/>
        <family val="2"/>
      </rPr>
      <t>(Medical)</t>
    </r>
  </si>
  <si>
    <r>
      <t xml:space="preserve">Less CPD </t>
    </r>
    <r>
      <rPr>
        <i/>
        <sz val="9"/>
        <color rgb="FF333333"/>
        <rFont val="Arial"/>
        <family val="2"/>
      </rPr>
      <t>(Agenda for Change)</t>
    </r>
  </si>
  <si>
    <t>= Total working capacity available</t>
  </si>
  <si>
    <t>= Total image acquisition / reporting capacity available</t>
  </si>
  <si>
    <t>Less % sessions / available working capacity required to fulfil other role responsibilities (e.g. on-call, MDTs, clinical discussions, consultations etc)</t>
  </si>
  <si>
    <t>NB: Coloured cells can be edited to amend assumed image acquisition or reporting time spent per WTE</t>
  </si>
  <si>
    <t>&lt;&lt; Enter historical activity data into this table to populate the forward projections</t>
  </si>
  <si>
    <r>
      <rPr>
        <b/>
        <sz val="9"/>
        <color theme="0"/>
        <rFont val="Arial"/>
        <family val="2"/>
      </rPr>
      <t>Number of Exam Requests</t>
    </r>
    <r>
      <rPr>
        <sz val="9"/>
        <color theme="0"/>
        <rFont val="Arial"/>
        <family val="2"/>
      </rPr>
      <t xml:space="preserve"> </t>
    </r>
    <r>
      <rPr>
        <i/>
        <sz val="9"/>
        <color theme="0"/>
        <rFont val="Arial"/>
        <family val="2"/>
      </rPr>
      <t>(enter figures)</t>
    </r>
  </si>
  <si>
    <t>Explanations and source evidence can be found within the Rationale tab at the end of this workbook</t>
  </si>
  <si>
    <t>Assumed average throughput per WTE for reporting and image acquisition, by staff group (NB: coloured cells can be edited to amend throughput values)</t>
  </si>
  <si>
    <t>NHSScotland Exam Requests activity and forward projection scenarios; Demand Scenario 1 increases from March 2022 by yearly modality projections (yellow table) with no recovery assumptions; Demand Scenario 2 increases by yearly modality projections from revised pre-COVID March 2020 on the assumption that this is the demand that would have occurred</t>
  </si>
  <si>
    <t>Created by Amy Currie, Clinton Heseltine and Dr Hamish McRitchie</t>
  </si>
  <si>
    <t>For any questions or feedback please contact us via email at nss.s.r.t.p@nhs.scot</t>
  </si>
  <si>
    <r>
      <t xml:space="preserve">The majority of the evidence base used for this tool is </t>
    </r>
    <r>
      <rPr>
        <b/>
        <sz val="9"/>
        <rFont val="Arial"/>
        <family val="2"/>
      </rPr>
      <t>management data</t>
    </r>
    <r>
      <rPr>
        <sz val="9"/>
        <rFont val="Arial"/>
        <family val="2"/>
      </rPr>
      <t>, in the absence of sufficiently available published statistics.</t>
    </r>
  </si>
  <si>
    <t>Validation of the tool and metrics was performed using testing against sample Health Board data, and triangulation against appropriate projections such as those from the Richards' Report and RCR Census.</t>
  </si>
  <si>
    <t>With many thanks to those who contributed throughout the process with data and professional judgement</t>
  </si>
  <si>
    <r>
      <t xml:space="preserve">The model is designed to work with five years' worth of historical examinations data (the current scope held within the National Radiology Dashboard, NRIIP) and projects forward </t>
    </r>
    <r>
      <rPr>
        <b/>
        <sz val="9"/>
        <rFont val="Arial"/>
        <family val="2"/>
      </rPr>
      <t>two demand scenarios</t>
    </r>
    <r>
      <rPr>
        <sz val="9"/>
        <rFont val="Arial"/>
        <family val="2"/>
      </rPr>
      <t>, the first indicated in green accounts for no COVID recovery while the second in pink assumes full recovery of the estimated 'missing' pandemic activity - the reality likely falls somewhere between the two scenarios.</t>
    </r>
  </si>
  <si>
    <r>
      <rPr>
        <b/>
        <sz val="9"/>
        <color rgb="FF333333"/>
        <rFont val="Arial"/>
        <family val="2"/>
      </rPr>
      <t>NB:</t>
    </r>
    <r>
      <rPr>
        <sz val="9"/>
        <color rgb="FF333333"/>
        <rFont val="Arial"/>
        <family val="2"/>
      </rPr>
      <t xml:space="preserve"> Throughout the model, the coloured cells indicate where to enter or amend data without affecting the formulas built into the tool</t>
    </r>
  </si>
  <si>
    <r>
      <t xml:space="preserve">A more detailed explanation of the modelling and metrics, including data sources, can be found within the end </t>
    </r>
    <r>
      <rPr>
        <b/>
        <sz val="9"/>
        <rFont val="Arial"/>
        <family val="2"/>
      </rPr>
      <t>Rationale</t>
    </r>
    <r>
      <rPr>
        <sz val="9"/>
        <rFont val="Arial"/>
        <family val="2"/>
      </rPr>
      <t xml:space="preserve"> tab.</t>
    </r>
  </si>
  <si>
    <t>proposed scenario 50%</t>
  </si>
  <si>
    <t>proposed scenario 20%</t>
  </si>
  <si>
    <t>proposed scenario 100%</t>
  </si>
  <si>
    <t>90% Sonographers, 10% Radiologists</t>
  </si>
  <si>
    <t>This is a first iteration of a workforce modelling tool for Diagnostic Imaging, with some of our initial intended scope limited by timescales and the availability of quality data. We would welcome any feedback on the model, basis for calculations, assumptions used, scope, and so on that we can use to improve future iterations of this tool.</t>
  </si>
  <si>
    <t>Total capacity available for reporting per WTE per year after accounting for all other responsibilities (for example MDTs, on-call, clinical discussions and consultations)</t>
  </si>
  <si>
    <t>Based on a 10-session week (each session is 4 hours) with 5 sessions-worth of reporting, from a previous job plan analysis undertaken by the SNRRS Bank</t>
  </si>
  <si>
    <t>X-ray, DEXA, Mammography (symptomatic), Fluoroscopy - 1%
Nuclear Medicine, Interventional - 6%
Ultrasound (non-obstetric) - 4% to 6%
CT - 7% to 9%
MRI - 7% to 11%</t>
  </si>
  <si>
    <t>30% MSK X-ray</t>
  </si>
  <si>
    <t>An analysis of all Scotland X-ray examination data as defined within RIS and submitted to NRIIP from April 2017 to March 2022, combined with clinical judgement of exam categorisation in terms of reporting radiographer scope</t>
  </si>
  <si>
    <t>54% MSK, 46% Non-MSK</t>
  </si>
  <si>
    <t>X-ray - MSK Split</t>
  </si>
  <si>
    <t>X-ray - XR Chest Examination Split</t>
  </si>
  <si>
    <t>Reporting Radiographers X-ray Split</t>
  </si>
  <si>
    <t>What % of X-ray examinations are XR Chest (once Mammography and DXA have been removed)</t>
  </si>
  <si>
    <t>42% XR Chest</t>
  </si>
  <si>
    <t>An analysis of all Scotland X-ray examination data as defined within RIS and submitted to NRIIP from April 2017 to March 2022</t>
  </si>
  <si>
    <t>Currently variable across Scotland in terms of practice, so ability to model individual scenarios has been built into the model</t>
  </si>
  <si>
    <t>Grade / Band</t>
  </si>
  <si>
    <t>Type</t>
  </si>
  <si>
    <t>Establishment</t>
  </si>
  <si>
    <t>Staff In Post</t>
  </si>
  <si>
    <t>Projection</t>
  </si>
  <si>
    <t>Consultant</t>
  </si>
  <si>
    <t>Band 2</t>
  </si>
  <si>
    <t>Band 3</t>
  </si>
  <si>
    <t>Diagnostic Radiography</t>
  </si>
  <si>
    <t>Clinical Radiology</t>
  </si>
  <si>
    <t>Band 7 (All)</t>
  </si>
  <si>
    <t>Diagnostic Radiographers - Reporting Radiographers</t>
  </si>
  <si>
    <t>Band 7 (RR)</t>
  </si>
  <si>
    <t>Diagnostic Radiographers - Sonographers</t>
  </si>
  <si>
    <t>Band 7 (S)</t>
  </si>
  <si>
    <t>FY 2017/18</t>
  </si>
  <si>
    <t>FY 2018/19</t>
  </si>
  <si>
    <t>FY 2019/20</t>
  </si>
  <si>
    <t>FY 2020/21</t>
  </si>
  <si>
    <t>FY 2021/22</t>
  </si>
  <si>
    <t>WTE Workforce Supply Data and Forward Projections</t>
  </si>
  <si>
    <t>WTE Staffing Figures - Actual</t>
  </si>
  <si>
    <t>FY 2022/23</t>
  </si>
  <si>
    <t>FY 2023/24</t>
  </si>
  <si>
    <t>FY 2024/25</t>
  </si>
  <si>
    <t>FY 2025/26</t>
  </si>
  <si>
    <t>FY 2026/27</t>
  </si>
  <si>
    <t>FY 2027/28</t>
  </si>
  <si>
    <t>FY 2028/29</t>
  </si>
  <si>
    <t>FY 2029/30</t>
  </si>
  <si>
    <t>FY 2030/31</t>
  </si>
  <si>
    <t>FY 2031/32</t>
  </si>
  <si>
    <t>WTE Staffing Figures - Projection (if available)</t>
  </si>
  <si>
    <t>NB: NES Workforce publications use figures as at 30-September each year</t>
  </si>
  <si>
    <t>Workforce Supply data that, if input, will be used to populate the graphs at the bottom of each staff group tab to visualise the gap between projected workforce demand and supply</t>
  </si>
  <si>
    <t>Graph Indicator</t>
  </si>
  <si>
    <t>WTE Staff In Post (RRs)</t>
  </si>
  <si>
    <t>WTE Establishment (RRs)</t>
  </si>
  <si>
    <t>WTE Staff Employment Forecast (RRs)</t>
  </si>
  <si>
    <t>GRAPH INPUT DATA - SUPPORT</t>
  </si>
  <si>
    <t>GRAPH INPUT DATA - QUALIFIED</t>
  </si>
  <si>
    <r>
      <t xml:space="preserve">Enter historical activity data into </t>
    </r>
    <r>
      <rPr>
        <b/>
        <i/>
        <sz val="9"/>
        <rFont val="Arial"/>
        <family val="2"/>
      </rPr>
      <t>column E</t>
    </r>
    <r>
      <rPr>
        <i/>
        <sz val="9"/>
        <rFont val="Arial"/>
        <family val="2"/>
      </rPr>
      <t xml:space="preserve"> in this table to populate the forward projections</t>
    </r>
  </si>
  <si>
    <t>˄</t>
  </si>
  <si>
    <r>
      <t xml:space="preserve">and into </t>
    </r>
    <r>
      <rPr>
        <b/>
        <i/>
        <sz val="9"/>
        <rFont val="Arial"/>
        <family val="2"/>
      </rPr>
      <t>column E</t>
    </r>
    <r>
      <rPr>
        <i/>
        <sz val="9"/>
        <rFont val="Arial"/>
        <family val="2"/>
      </rPr>
      <t xml:space="preserve"> of the table from row 53 for the COVID adjustments</t>
    </r>
  </si>
  <si>
    <t>Instruction</t>
  </si>
  <si>
    <t>Step 1</t>
  </si>
  <si>
    <t>Step 2</t>
  </si>
  <si>
    <t>Step 3</t>
  </si>
  <si>
    <t>Step 4</t>
  </si>
  <si>
    <t>Step 5</t>
  </si>
  <si>
    <t>Step 6</t>
  </si>
  <si>
    <t>Check and amend as required the values within this sheet for the available working time per WTE per staff group for the proxy measures of reporting and image acquisition</t>
  </si>
  <si>
    <t>Input your annual examination activity data per modality into the black table at the top of the Input - Activity and Demand sheet</t>
  </si>
  <si>
    <t>Step 7</t>
  </si>
  <si>
    <t>Step 8</t>
  </si>
  <si>
    <t>Input - Modelling Variables</t>
  </si>
  <si>
    <t>Input - Workforce Supply</t>
  </si>
  <si>
    <t>Step 9</t>
  </si>
  <si>
    <t>Step 10</t>
  </si>
  <si>
    <t>Step 11</t>
  </si>
  <si>
    <t>Amend as required the throughput metrics, capacity metrics, yearly projections, modelling variables and assumptions to calculate and compare the projected workforce impact of different scenarios</t>
  </si>
  <si>
    <t>Relevant Sheet</t>
  </si>
  <si>
    <t>User Guide</t>
  </si>
  <si>
    <t>Check</t>
  </si>
  <si>
    <t>Link to NES Workforce Dashboard for establishment and employment figures</t>
  </si>
  <si>
    <t>Band 7 (excl. RR, S)</t>
  </si>
  <si>
    <t>What proportion of the calculated DR workforce required for Interventional is needed in addition to cover Cardiology labs?</t>
  </si>
  <si>
    <t>e.g. all Scotland = 64</t>
  </si>
  <si>
    <t>NHS Tayside = 6</t>
  </si>
  <si>
    <r>
      <t xml:space="preserve">There is also a requirement for Diagnostic Radiographers to staff </t>
    </r>
    <r>
      <rPr>
        <b/>
        <sz val="9"/>
        <color rgb="FF333333"/>
        <rFont val="Arial"/>
        <family val="2"/>
      </rPr>
      <t>Cardiology</t>
    </r>
    <r>
      <rPr>
        <sz val="9"/>
        <color rgb="FF333333"/>
        <rFont val="Arial"/>
        <family val="2"/>
      </rPr>
      <t xml:space="preserve"> labs</t>
    </r>
  </si>
  <si>
    <t>Using these values, what is the minimum requirement of WTE Interventional Radiologists needed to cover the area included within this modelling?</t>
  </si>
  <si>
    <r>
      <t xml:space="preserve">There is a minimum requirement of </t>
    </r>
    <r>
      <rPr>
        <b/>
        <sz val="9"/>
        <color rgb="FF333333"/>
        <rFont val="Arial"/>
        <family val="2"/>
      </rPr>
      <t>6 WTE IR Consultants</t>
    </r>
    <r>
      <rPr>
        <sz val="9"/>
        <color rgb="FF333333"/>
        <rFont val="Arial"/>
        <family val="2"/>
      </rPr>
      <t xml:space="preserve"> per Board to provide a 24/7 on call service (or minimum of</t>
    </r>
    <r>
      <rPr>
        <b/>
        <sz val="9"/>
        <color rgb="FF333333"/>
        <rFont val="Arial"/>
        <family val="2"/>
      </rPr>
      <t xml:space="preserve"> 8 WTE IR</t>
    </r>
    <r>
      <rPr>
        <sz val="9"/>
        <color rgb="FF333333"/>
        <rFont val="Arial"/>
        <family val="2"/>
      </rPr>
      <t xml:space="preserve"> for populations &lt;1m)</t>
    </r>
  </si>
  <si>
    <t>CSWs</t>
  </si>
  <si>
    <t>Supervisory / Management</t>
  </si>
  <si>
    <t>Modelled as the below proportion of the calculated Band 5 workforce required to account for covering general X-ray</t>
  </si>
  <si>
    <t>Supervisory / Management (Lower projected)</t>
  </si>
  <si>
    <t>Supervisory / Management (Upper projected)</t>
  </si>
  <si>
    <t>Band 7 (excl. RR,S)</t>
  </si>
  <si>
    <t>Modelled as the below proportion of the entire calculated Diagnostic Radiography workforce required (Bands 2-6 plus RRs and Sonographers)</t>
  </si>
  <si>
    <t>Modelled as the below proportion of the total calculated Sonographer and Consultant Radiologist workforce required to undertake Ultrasound (non-obstetric)</t>
  </si>
  <si>
    <r>
      <rPr>
        <b/>
        <sz val="9"/>
        <color rgb="FF333333"/>
        <rFont val="Arial"/>
        <family val="2"/>
      </rPr>
      <t>PLUS</t>
    </r>
    <r>
      <rPr>
        <sz val="9"/>
        <color rgb="FF333333"/>
        <rFont val="Arial"/>
        <family val="2"/>
      </rPr>
      <t xml:space="preserve"> the below proportion of the calculated Band 6 workforce required, to account for CT/MRI/IR etc</t>
    </r>
  </si>
  <si>
    <t>Equivalent WTE Diagnostic Radiography workforce required, based on actual exam requests</t>
  </si>
  <si>
    <r>
      <t>Equivalent WTE Diagnostic Radiography workforce required, based on projected exam requests (</t>
    </r>
    <r>
      <rPr>
        <b/>
        <sz val="9"/>
        <color rgb="FF333333"/>
        <rFont val="Arial"/>
        <family val="2"/>
      </rPr>
      <t xml:space="preserve">not </t>
    </r>
    <r>
      <rPr>
        <sz val="9"/>
        <color rgb="FF333333"/>
        <rFont val="Arial"/>
        <family val="2"/>
      </rPr>
      <t>COVID-adjusted)</t>
    </r>
  </si>
  <si>
    <t>Equivalent WTE Diagnostic Radiography req.</t>
  </si>
  <si>
    <r>
      <t>Equivalent WTE Diagnostic Radiography workforce required, based on projected exam requests (</t>
    </r>
    <r>
      <rPr>
        <b/>
        <sz val="9"/>
        <color rgb="FF333333"/>
        <rFont val="Arial"/>
        <family val="2"/>
      </rPr>
      <t>COVID-adjusted</t>
    </r>
    <r>
      <rPr>
        <sz val="9"/>
        <color rgb="FF333333"/>
        <rFont val="Arial"/>
        <family val="2"/>
      </rPr>
      <t>)</t>
    </r>
  </si>
  <si>
    <t>Enter Data</t>
  </si>
  <si>
    <t>Check / Amend</t>
  </si>
  <si>
    <t>Action</t>
  </si>
  <si>
    <t>Agreed Metric or Assumption (National Model v1.0)</t>
  </si>
  <si>
    <t>WTE Establishment -  Bands 5, 6 + 7 (excl. assumed RRs, Sonographers)</t>
  </si>
  <si>
    <t>WTE Establishment - Band 5 (As at 30/09)</t>
  </si>
  <si>
    <t>WTE Establishment - Band 6 (As at 30/09)</t>
  </si>
  <si>
    <t>WTE Establishment - Band 7 (As at 30/09)</t>
  </si>
  <si>
    <t>WTE Staff Employment Forecast - Bands 5, 6 + 7 (excl. RR, Sonographers)</t>
  </si>
  <si>
    <t>WTE Staff Employment Forecast - Band 5</t>
  </si>
  <si>
    <t>WTE Staff Employment Forecast - Band 6</t>
  </si>
  <si>
    <t>WTE Staff Employment Forecast - Band 7</t>
  </si>
  <si>
    <t>Graphs can be found at the bottom of the sheet; Ultrasound (non-obstetric) is modelled separately within the Sonographers tab</t>
  </si>
  <si>
    <t>Graphs can be found at the bottom of the sheet; NB: For the purposes of modelling, 'X-ray' excludes DXA and Mammography exams</t>
  </si>
  <si>
    <t>WTE Staff Employment Forecast (non-obstetric Sonographers)</t>
  </si>
  <si>
    <t>WTE Staff In Post (non-obstetric Sonographers)</t>
  </si>
  <si>
    <t>WTE Establishment (non-obstetric Sonographers)</t>
  </si>
  <si>
    <r>
      <t xml:space="preserve">Exam Activity per Hour and Number of Staff Required:
4 CT per hour with 2.7 WTE Band 6
6 DEXA with 1.3 WTE Band 5
3 Fluoroscopy with 1.3 WTE Band 6
4 Mammography with1.3 Band 6
1.3 MRI with 2.5 Band 6
1.6 Nuclear Medicine with 2.5 Band 6
5 X-ray with 1.3 Band 5
</t>
    </r>
    <r>
      <rPr>
        <b/>
        <sz val="9"/>
        <color theme="1"/>
        <rFont val="Arial"/>
        <family val="2"/>
      </rPr>
      <t>= Minutes per Exam per WTE by modality</t>
    </r>
  </si>
  <si>
    <r>
      <t xml:space="preserve">45 minutes per IR exam per Radiologist
Diagnostic Radiographer Exam Activity per Hour and Number of Staff Required:
1.3 Interventional with 2.5 WTE Band 6
(same metrics as IR used for Cardiology cover)
</t>
    </r>
    <r>
      <rPr>
        <b/>
        <sz val="9"/>
        <color theme="1"/>
        <rFont val="Arial"/>
        <family val="2"/>
      </rPr>
      <t>= Minutes per Exam per WTE by modality</t>
    </r>
  </si>
  <si>
    <t>An analysis of sample Health Board data within NHS Scotland as defined within RIS and submitted to NRIIP over a 6-month period, with associated date and time stamps to calculate the average length of exams in-hours across certain locations; An analysis of sample Health Board data including staffing rotas to determine average radiographer throughput figures</t>
  </si>
  <si>
    <t>An analysis of sample Health Board data within NHS Scotland obtained from RIS, staffing rotas and other management data to determine average radiographer throughput across Scotland</t>
  </si>
  <si>
    <t>Based on the 2021 paper 'National Ultrasound Service Provision - Demand, Capacity &amp; Succession Planning' by Morag Stout, data collected from Boards showed an average throughput of 11 scans per session pre-COVID and 9 scans per session in 2021, due in part to increased cleaning protocols and number of complex examinations</t>
  </si>
  <si>
    <t>9 US exams per session
(NB: varies significantly by Board)</t>
  </si>
  <si>
    <t>Minimum protected requirement based on job plans</t>
  </si>
  <si>
    <t>See linked sources within this table</t>
  </si>
  <si>
    <t>Total capacity available for image acquisition per WTE per year after accounting for all other responsibilities</t>
  </si>
  <si>
    <t>85% Ultrasound (non-obstetric)
= 173.4 days or 1301 hours</t>
  </si>
  <si>
    <r>
      <rPr>
        <b/>
        <sz val="9"/>
        <color theme="1"/>
        <rFont val="Arial"/>
        <family val="2"/>
      </rPr>
      <t>Band 5</t>
    </r>
    <r>
      <rPr>
        <sz val="9"/>
        <color theme="1"/>
        <rFont val="Arial"/>
        <family val="2"/>
      </rPr>
      <t xml:space="preserve"> 90% image acquisition
= 183.6 days or 1377 hours
</t>
    </r>
    <r>
      <rPr>
        <b/>
        <sz val="9"/>
        <color theme="1"/>
        <rFont val="Arial"/>
        <family val="2"/>
      </rPr>
      <t xml:space="preserve">Band 6 </t>
    </r>
    <r>
      <rPr>
        <sz val="9"/>
        <color theme="1"/>
        <rFont val="Arial"/>
        <family val="2"/>
      </rPr>
      <t xml:space="preserve">70% image acquisition
= 142.8 days or 1071 hours
</t>
    </r>
    <r>
      <rPr>
        <b/>
        <sz val="9"/>
        <color theme="1"/>
        <rFont val="Arial"/>
        <family val="2"/>
      </rPr>
      <t>Band 7</t>
    </r>
    <r>
      <rPr>
        <sz val="9"/>
        <color theme="1"/>
        <rFont val="Arial"/>
        <family val="2"/>
      </rPr>
      <t xml:space="preserve"> </t>
    </r>
    <r>
      <rPr>
        <i/>
        <sz val="9"/>
        <color theme="1"/>
        <rFont val="Arial"/>
        <family val="2"/>
      </rPr>
      <t>(excluding Sonographers and Reporting Radiographers)</t>
    </r>
    <r>
      <rPr>
        <sz val="9"/>
        <color theme="1"/>
        <rFont val="Arial"/>
        <family val="2"/>
      </rPr>
      <t xml:space="preserve"> 30% image acquisition
= 61.2 days or 459 hours</t>
    </r>
  </si>
  <si>
    <t>X-ray, DEXA, Mammography (symptomatic) and Fluoroscopy projected to follow population growth based on previous trends; Demand within Diagnostic Imaging for the other modalities is growing faster post-COVID than has been the trend historically, and so projections have incorporated estimates given within the RCR Census, Richards' Report and from NHSE National Imaging Transformation Programme instead of solely matching historical trend, while also trying to take into account future possibilities of for example new cancer or screening pathways and treatment centres; Projection range used due to forecasting uncertainty</t>
  </si>
  <si>
    <t>An analysis of all Scotland X-ray examination data as defined within RIS and submitted to NRIIP from April 2017 to March 2022, combined with current intelligence from RRIGS regarding classification; it is noted there is significant variation of scope currently between Boards; the ability to model a reporting scope across MSK, Non-MSK, specifically XR Chest, and DEXA and Mammography (symptomatic) has been built into the model to try and account for future changes to reporting radiographer scope and practice</t>
  </si>
  <si>
    <t>An analysis of five sample Health Boards X-ray examination data as defined within RIS and submitted to NRIIP from April 2017 to March 2022</t>
  </si>
  <si>
    <t>Based on 7.5 hour days and Health Board professional clinical judgement across NHS Scotland</t>
  </si>
  <si>
    <r>
      <t xml:space="preserve">Input - Modelling Variables </t>
    </r>
    <r>
      <rPr>
        <b/>
        <sz val="9"/>
        <color theme="1"/>
        <rFont val="Arial"/>
        <family val="2"/>
      </rPr>
      <t>(5)</t>
    </r>
  </si>
  <si>
    <r>
      <t xml:space="preserve">Input - Modelling Variables </t>
    </r>
    <r>
      <rPr>
        <b/>
        <sz val="9"/>
        <color theme="1"/>
        <rFont val="Arial"/>
        <family val="2"/>
      </rPr>
      <t>(13)</t>
    </r>
  </si>
  <si>
    <r>
      <t xml:space="preserve">Input - Modelling Variables </t>
    </r>
    <r>
      <rPr>
        <b/>
        <sz val="9"/>
        <color theme="1"/>
        <rFont val="Arial"/>
        <family val="2"/>
      </rPr>
      <t>(14)</t>
    </r>
  </si>
  <si>
    <r>
      <t xml:space="preserve">Input - Modelling Variables </t>
    </r>
    <r>
      <rPr>
        <b/>
        <sz val="9"/>
        <color theme="1"/>
        <rFont val="Arial"/>
        <family val="2"/>
      </rPr>
      <t>(15)</t>
    </r>
  </si>
  <si>
    <t>Artificial Intelligence - MSK X-ray</t>
  </si>
  <si>
    <t>Artificial Intelligence - XR Chest</t>
  </si>
  <si>
    <t>Artificial Intelligence - DEXA</t>
  </si>
  <si>
    <t>What % of MSK X-ray examination reporting demand could be removed through the implementation of AI products</t>
  </si>
  <si>
    <t>What % of XR Chest examination reporting demand could be removed through the implementation of AI products</t>
  </si>
  <si>
    <t>What % of DEXA examination acquisition and reporting demand could be removed through the implementation of AI products</t>
  </si>
  <si>
    <t>Based on most likely scenarios provided from current intelligence developed within the Scottish Imaging Artificial Intelligence Group</t>
  </si>
  <si>
    <t>50% MSK X-ray</t>
  </si>
  <si>
    <t>20% XR Chest</t>
  </si>
  <si>
    <t>100% DEXA</t>
  </si>
  <si>
    <t>Last updated: 20 December 2022</t>
  </si>
  <si>
    <t>Diagnostic Radiography - Bands 2/3</t>
  </si>
  <si>
    <t>Diagnostic Radiography - Band 4</t>
  </si>
  <si>
    <t>Diagnostic Radiographers - Band 7 (excl. RR, S)</t>
  </si>
  <si>
    <t>The average workforce requirement expected for Band 2/3 Diagnostic Radiography staff calculated against the projected demand</t>
  </si>
  <si>
    <t>The average workforce requirement expected for Band 4 Diagnostic Radiography staff calculated against the projected demand</t>
  </si>
  <si>
    <t>The average workforce requirement expected for Band 7 Diagnostic Radiographers, who are in a Supervisory / Managerial role and not Reporting Radiographers nor Sonographers, calculated against the projected demand</t>
  </si>
  <si>
    <t>1:1 match with workforce required to deliver US
plus 30% of Band 6 DR workforce, to also support CT/MRI/IR etc</t>
  </si>
  <si>
    <t>Based on an analysis of workforce data across NHS Scotland and professional clinical judgement</t>
  </si>
  <si>
    <t>30% of Band 5 DR workforce, to support X-ray</t>
  </si>
  <si>
    <t>14% of total DR workforce</t>
  </si>
  <si>
    <t>Check and amend as required the values within this sheet (in the coloured cells) for the number of reports and exams undertaken per WTE staff per hour for each modality, on average across the area you are modelling</t>
  </si>
  <si>
    <t>Input your examination activity data for the period April 2019 - December 2019 into the pink table at the bottom of the sheet in order to calculate the assumed missing COVID activity projections</t>
  </si>
  <si>
    <t>Check and amend as required the yearly increase per modality in the yellow highlighted table, which will automatically populate into Demand Scenario 2 below</t>
  </si>
  <si>
    <r>
      <t xml:space="preserve">At this stage, both Demand Scenarios should be populated with figures, and figures should also be showing in each of the staff group sheets and associated graphs </t>
    </r>
    <r>
      <rPr>
        <i/>
        <sz val="9"/>
        <rFont val="Arial"/>
        <family val="2"/>
      </rPr>
      <t>(If these are still blank, data is missing somewhere from the above steps, or a formula has broken - please get in contact if stuck)</t>
    </r>
  </si>
  <si>
    <t>Check and amend as required the values set against each of the modelling variables</t>
  </si>
  <si>
    <r>
      <rPr>
        <i/>
        <sz val="9"/>
        <rFont val="Arial"/>
        <family val="2"/>
      </rPr>
      <t xml:space="preserve">(optional) </t>
    </r>
    <r>
      <rPr>
        <sz val="9"/>
        <rFont val="Arial"/>
        <family val="2"/>
      </rPr>
      <t>Input your historical and projected WTE Establishment and Staff In Post data for each staff group, which will filter through to the graphs at the bottom of each staff group sheet to visualise the gap between the projected WTE workforce demand and supply</t>
    </r>
  </si>
  <si>
    <t>Radiologists &amp; Reporting Radiog(raphers)
Diagnostic Radiography
Sonographers</t>
  </si>
  <si>
    <t>View the projected WTE workforce required to deliver the projected demand internally within NHSScotland by staff group, split by modality, with graphs to visualise the figures at the bottom of each sheet</t>
  </si>
  <si>
    <t>View</t>
  </si>
  <si>
    <t>Revise</t>
  </si>
  <si>
    <t>All</t>
  </si>
  <si>
    <t>Last Updated: 20 December 2022</t>
  </si>
  <si>
    <r>
      <t xml:space="preserve">This tool calculates the </t>
    </r>
    <r>
      <rPr>
        <b/>
        <sz val="9"/>
        <rFont val="Arial"/>
        <family val="2"/>
      </rPr>
      <t>Whole Time Equivalent</t>
    </r>
    <r>
      <rPr>
        <sz val="9"/>
        <rFont val="Arial"/>
        <family val="2"/>
      </rPr>
      <t xml:space="preserve"> (WTE) workforce required to deliver the projected Diagnostic Imaging demand </t>
    </r>
    <r>
      <rPr>
        <b/>
        <sz val="9"/>
        <rFont val="Arial"/>
        <family val="2"/>
      </rPr>
      <t>wholly within NHSScotland</t>
    </r>
    <r>
      <rPr>
        <sz val="9"/>
        <rFont val="Arial"/>
        <family val="2"/>
      </rPr>
      <t xml:space="preserve"> i.e. does not take into account any use of insourcing, outsourcing and so on.</t>
    </r>
  </si>
  <si>
    <r>
      <t xml:space="preserve">The tool uses the proxy measures of image acquisition and reporting to quantify the projected demand as the WTE workforce required to deliver it across Consultant Clinical Radiologists and Diagnostic Radiographers, using the set </t>
    </r>
    <r>
      <rPr>
        <b/>
        <sz val="9"/>
        <rFont val="Arial"/>
        <family val="2"/>
      </rPr>
      <t xml:space="preserve">throughput </t>
    </r>
    <r>
      <rPr>
        <sz val="9"/>
        <rFont val="Arial"/>
        <family val="2"/>
      </rPr>
      <t xml:space="preserve">and </t>
    </r>
    <r>
      <rPr>
        <b/>
        <sz val="9"/>
        <rFont val="Arial"/>
        <family val="2"/>
      </rPr>
      <t>capacity</t>
    </r>
    <r>
      <rPr>
        <sz val="9"/>
        <rFont val="Arial"/>
        <family val="2"/>
      </rPr>
      <t xml:space="preserve"> metrics alongside the </t>
    </r>
    <r>
      <rPr>
        <b/>
        <sz val="9"/>
        <rFont val="Arial"/>
        <family val="2"/>
      </rPr>
      <t xml:space="preserve">modelling variables </t>
    </r>
    <r>
      <rPr>
        <sz val="9"/>
        <rFont val="Arial"/>
        <family val="2"/>
      </rPr>
      <t>scenarios.</t>
    </r>
  </si>
  <si>
    <r>
      <t xml:space="preserve">The </t>
    </r>
    <r>
      <rPr>
        <b/>
        <sz val="9"/>
        <rFont val="Arial"/>
        <family val="2"/>
      </rPr>
      <t>Input - Modelling Variables</t>
    </r>
    <r>
      <rPr>
        <sz val="9"/>
        <rFont val="Arial"/>
        <family val="2"/>
      </rPr>
      <t xml:space="preserve"> tab allows you to easily model the impact on staff groups from any proposed scenarios or changes in working, for example the potential workforce impact of AI products or from expanding the scope of Reporting Radiographers.</t>
    </r>
  </si>
  <si>
    <t>Minimum recommended by SCoR to maintain HCPC registration</t>
  </si>
  <si>
    <t>Check and amend as required the assumptions used to calculate Bands 2/3, 4 and 7 (Supervisory) workforce, and the need for Diagnostic Radiographers to also staff Cardiology labs</t>
  </si>
  <si>
    <t>Input the minimum requirement for Interventional Radiology Consultants (into cell U9) for the area you are including within the modelling, using the stated guidelines</t>
  </si>
  <si>
    <t>Step 12</t>
  </si>
  <si>
    <t>Band 5, 6 + 7 (excl. RR, S)</t>
  </si>
  <si>
    <t>Projection (1.4%)</t>
  </si>
  <si>
    <r>
      <t xml:space="preserve">Version: </t>
    </r>
    <r>
      <rPr>
        <b/>
        <sz val="9"/>
        <color theme="1"/>
        <rFont val="Arial"/>
        <family val="2"/>
      </rPr>
      <t>v1.1</t>
    </r>
    <r>
      <rPr>
        <sz val="9"/>
        <color theme="1"/>
        <rFont val="Arial"/>
        <family val="2"/>
      </rPr>
      <t xml:space="preserve"> (Updated March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</si>
</sst>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7" x14ac:knownFonts="1">
    <font>
      <sz val="11"/>
      <color theme="1"/>
      <name val="Calibri"/>
      <family val="2"/>
      <scheme val="minor"/>
    </font>
    <font>
      <sz val="11"/>
      <color rgb="FF9C0006"/>
      <name val="Calibri"/>
      <family val="2"/>
      <scheme val="minor"/>
    </font>
    <font>
      <sz val="9"/>
      <name val="Arial"/>
      <family val="2"/>
    </font>
    <font>
      <sz val="11"/>
      <name val="Calibri"/>
      <family val="2"/>
    </font>
    <font>
      <sz val="9"/>
      <color rgb="FF333333"/>
      <name val="Arial"/>
      <family val="2"/>
    </font>
    <font>
      <b/>
      <sz val="9"/>
      <color rgb="FF333333"/>
      <name val="Arial"/>
      <family val="2"/>
    </font>
    <font>
      <sz val="11"/>
      <color theme="1"/>
      <name val="Arial"/>
      <family val="2"/>
    </font>
    <font>
      <sz val="9"/>
      <color theme="1"/>
      <name val="Arial"/>
      <family val="2"/>
    </font>
    <font>
      <b/>
      <sz val="9"/>
      <name val="Arial"/>
      <family val="2"/>
    </font>
    <font>
      <i/>
      <sz val="9"/>
      <color rgb="FF333333"/>
      <name val="Arial"/>
      <family val="2"/>
    </font>
    <font>
      <b/>
      <sz val="9"/>
      <color theme="1"/>
      <name val="Arial"/>
      <family val="2"/>
    </font>
    <font>
      <sz val="11"/>
      <color theme="1"/>
      <name val="Calibri"/>
      <family val="2"/>
      <scheme val="minor"/>
    </font>
    <font>
      <sz val="8"/>
      <name val="Calibri"/>
      <family val="2"/>
      <scheme val="minor"/>
    </font>
    <font>
      <b/>
      <sz val="11"/>
      <color theme="1"/>
      <name val="Arial"/>
      <family val="2"/>
    </font>
    <font>
      <sz val="9"/>
      <color rgb="FFFF0000"/>
      <name val="Arial"/>
      <family val="2"/>
    </font>
    <font>
      <b/>
      <sz val="9"/>
      <color rgb="FFFF0000"/>
      <name val="Arial"/>
      <family val="2"/>
    </font>
    <font>
      <b/>
      <sz val="10"/>
      <name val="Arial"/>
      <family val="2"/>
    </font>
    <font>
      <b/>
      <sz val="11"/>
      <name val="Calibri"/>
      <family val="2"/>
    </font>
    <font>
      <sz val="9"/>
      <color theme="0"/>
      <name val="Arial"/>
      <family val="2"/>
    </font>
    <font>
      <b/>
      <i/>
      <sz val="9"/>
      <name val="Arial"/>
      <family val="2"/>
    </font>
    <font>
      <b/>
      <sz val="10"/>
      <color rgb="FF333333"/>
      <name val="Arial"/>
      <family val="2"/>
    </font>
    <font>
      <b/>
      <sz val="9"/>
      <color theme="0"/>
      <name val="Arial"/>
      <family val="2"/>
    </font>
    <font>
      <i/>
      <sz val="9"/>
      <color theme="1"/>
      <name val="Arial"/>
      <family val="2"/>
    </font>
    <font>
      <i/>
      <sz val="9"/>
      <name val="Arial"/>
      <family val="2"/>
    </font>
    <font>
      <sz val="10"/>
      <name val="Arial"/>
      <family val="2"/>
    </font>
    <font>
      <sz val="11"/>
      <name val="Calibri"/>
      <family val="2"/>
    </font>
    <font>
      <sz val="9"/>
      <color rgb="FF333333"/>
      <name val="Arial"/>
      <family val="2"/>
    </font>
    <font>
      <b/>
      <sz val="11"/>
      <color rgb="FF333333"/>
      <name val="Arial"/>
      <family val="2"/>
    </font>
    <font>
      <b/>
      <i/>
      <sz val="9"/>
      <color rgb="FF333333"/>
      <name val="Arial"/>
      <family val="2"/>
    </font>
    <font>
      <i/>
      <sz val="9"/>
      <color rgb="FFFF5050"/>
      <name val="Arial"/>
      <family val="2"/>
    </font>
    <font>
      <i/>
      <sz val="9"/>
      <color theme="0"/>
      <name val="Arial"/>
      <family val="2"/>
    </font>
    <font>
      <sz val="10"/>
      <name val="Wingdings"/>
      <charset val="2"/>
    </font>
    <font>
      <b/>
      <sz val="20"/>
      <color theme="1"/>
      <name val="Arial"/>
      <family val="2"/>
    </font>
    <font>
      <u/>
      <sz val="11"/>
      <color theme="10"/>
      <name val="Calibri"/>
      <family val="2"/>
      <scheme val="minor"/>
    </font>
    <font>
      <u/>
      <sz val="9"/>
      <color theme="10"/>
      <name val="Arial"/>
      <family val="2"/>
    </font>
    <font>
      <b/>
      <sz val="14"/>
      <color theme="1"/>
      <name val="Arial"/>
      <family val="2"/>
    </font>
    <font>
      <sz val="11"/>
      <name val="Arial"/>
      <family val="2"/>
    </font>
  </fonts>
  <fills count="20">
    <fill>
      <patternFill patternType="none"/>
    </fill>
    <fill>
      <patternFill patternType="gray125"/>
    </fill>
    <fill>
      <patternFill patternType="solid">
        <fgColor rgb="FFFFC7CE"/>
      </patternFill>
    </fill>
    <fill>
      <patternFill patternType="solid">
        <fgColor rgb="FFFFFF00"/>
        <bgColor indexed="64"/>
      </patternFill>
    </fill>
    <fill>
      <patternFill patternType="solid">
        <fgColor theme="2"/>
        <bgColor indexed="64"/>
      </patternFill>
    </fill>
    <fill>
      <patternFill patternType="solid">
        <fgColor rgb="FF00B0F0"/>
        <bgColor indexed="64"/>
      </patternFill>
    </fill>
    <fill>
      <patternFill patternType="solid">
        <fgColor rgb="FFFFC000"/>
        <bgColor indexed="64"/>
      </patternFill>
    </fill>
    <fill>
      <patternFill patternType="solid">
        <fgColor rgb="FFFF66FF"/>
        <bgColor indexed="64"/>
      </patternFill>
    </fill>
    <fill>
      <patternFill patternType="solid">
        <fgColor rgb="FFFF99FF"/>
        <bgColor indexed="64"/>
      </patternFill>
    </fill>
    <fill>
      <patternFill patternType="solid">
        <fgColor theme="1"/>
        <bgColor indexed="64"/>
      </patternFill>
    </fill>
    <fill>
      <patternFill patternType="solid">
        <fgColor rgb="FF66FF33"/>
        <bgColor indexed="64"/>
      </patternFill>
    </fill>
    <fill>
      <patternFill patternType="solid">
        <fgColor rgb="FF21C5FF"/>
        <bgColor indexed="64"/>
      </patternFill>
    </fill>
    <fill>
      <patternFill patternType="solid">
        <fgColor rgb="FFFF5050"/>
        <bgColor indexed="64"/>
      </patternFill>
    </fill>
    <fill>
      <patternFill patternType="solid">
        <fgColor rgb="FFCC99FF"/>
        <bgColor indexed="64"/>
      </patternFill>
    </fill>
    <fill>
      <patternFill patternType="solid">
        <fgColor rgb="FFCCECFF"/>
        <bgColor indexed="64"/>
      </patternFill>
    </fill>
    <fill>
      <patternFill patternType="solid">
        <fgColor rgb="FFFFFFCC"/>
        <bgColor indexed="64"/>
      </patternFill>
    </fill>
    <fill>
      <patternFill patternType="solid">
        <fgColor rgb="FF0070C0"/>
        <bgColor indexed="64"/>
      </patternFill>
    </fill>
    <fill>
      <patternFill patternType="solid">
        <fgColor rgb="FFCC66FF"/>
        <bgColor indexed="64"/>
      </patternFill>
    </fill>
    <fill>
      <patternFill patternType="solid">
        <fgColor theme="7" tint="0.59999389629810485"/>
        <bgColor indexed="64"/>
      </patternFill>
    </fill>
    <fill>
      <patternFill patternType="solid">
        <fgColor rgb="FFFFCC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medium">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top style="medium">
        <color auto="1"/>
      </top>
      <bottom/>
      <diagonal/>
    </border>
  </borders>
  <cellStyleXfs count="7">
    <xf numFmtId="0" fontId="0" fillId="0" borderId="0"/>
    <xf numFmtId="0" fontId="1" fillId="2" borderId="0" applyNumberFormat="0" applyFont="0" applyBorder="0" applyAlignment="0" applyProtection="0"/>
    <xf numFmtId="0" fontId="3" fillId="0" borderId="0"/>
    <xf numFmtId="9" fontId="11" fillId="0" borderId="0" applyFont="0" applyFill="0" applyBorder="0" applyAlignment="0" applyProtection="0"/>
    <xf numFmtId="9" fontId="3" fillId="0" borderId="0" applyFont="0" applyFill="0" applyBorder="0" applyAlignment="0" applyProtection="0"/>
    <xf numFmtId="0" fontId="25" fillId="0" borderId="0"/>
    <xf numFmtId="0" fontId="33" fillId="0" borderId="0" applyNumberFormat="0" applyFill="0" applyBorder="0" applyAlignment="0" applyProtection="0"/>
  </cellStyleXfs>
  <cellXfs count="344">
    <xf numFmtId="0" fontId="0" fillId="0" borderId="0" xfId="0"/>
    <xf numFmtId="0" fontId="5" fillId="0" borderId="0" xfId="2" applyFont="1" applyBorder="1" applyAlignment="1">
      <alignment horizontal="left"/>
    </xf>
    <xf numFmtId="0" fontId="6" fillId="0" borderId="0" xfId="0" applyFont="1"/>
    <xf numFmtId="0" fontId="2" fillId="0" borderId="0" xfId="2" applyFont="1"/>
    <xf numFmtId="0" fontId="7" fillId="0" borderId="0" xfId="0" applyFont="1"/>
    <xf numFmtId="0" fontId="7" fillId="0" borderId="0" xfId="0" applyFont="1" applyAlignment="1">
      <alignment horizontal="left"/>
    </xf>
    <xf numFmtId="0" fontId="6" fillId="0" borderId="0" xfId="0" applyFont="1" applyAlignment="1">
      <alignment vertical="center"/>
    </xf>
    <xf numFmtId="0" fontId="3" fillId="0" borderId="0" xfId="2"/>
    <xf numFmtId="0" fontId="4" fillId="0" borderId="1" xfId="2" applyFont="1" applyBorder="1" applyAlignment="1">
      <alignment horizontal="left"/>
    </xf>
    <xf numFmtId="0" fontId="4" fillId="0" borderId="1" xfId="2" applyFont="1" applyFill="1" applyBorder="1" applyAlignment="1">
      <alignment horizontal="left"/>
    </xf>
    <xf numFmtId="0" fontId="4" fillId="0" borderId="1" xfId="2" applyFont="1" applyBorder="1" applyAlignment="1">
      <alignment horizontal="left" vertical="center"/>
    </xf>
    <xf numFmtId="164" fontId="4" fillId="0" borderId="1" xfId="2" applyNumberFormat="1" applyFont="1" applyFill="1" applyBorder="1" applyAlignment="1">
      <alignment vertical="center"/>
    </xf>
    <xf numFmtId="3" fontId="4" fillId="0" borderId="1" xfId="2" applyNumberFormat="1" applyFont="1" applyFill="1" applyBorder="1" applyAlignment="1">
      <alignment vertical="center"/>
    </xf>
    <xf numFmtId="164" fontId="4" fillId="4" borderId="1" xfId="2" applyNumberFormat="1" applyFont="1" applyFill="1" applyBorder="1" applyAlignment="1">
      <alignment vertical="center"/>
    </xf>
    <xf numFmtId="3" fontId="4" fillId="4" borderId="1" xfId="2" applyNumberFormat="1" applyFont="1" applyFill="1" applyBorder="1" applyAlignment="1">
      <alignment vertical="center"/>
    </xf>
    <xf numFmtId="0" fontId="7" fillId="0" borderId="0" xfId="0" applyFont="1" applyAlignment="1">
      <alignment horizontal="right"/>
    </xf>
    <xf numFmtId="0" fontId="5" fillId="0" borderId="1" xfId="2" applyFont="1" applyFill="1" applyBorder="1" applyAlignment="1">
      <alignment horizontal="left" vertical="center"/>
    </xf>
    <xf numFmtId="0" fontId="6" fillId="0" borderId="0" xfId="0" applyFont="1" applyFill="1"/>
    <xf numFmtId="0" fontId="7" fillId="0" borderId="0" xfId="0" applyFont="1" applyFill="1" applyAlignment="1">
      <alignment horizontal="right"/>
    </xf>
    <xf numFmtId="1" fontId="4" fillId="0" borderId="1" xfId="2" applyNumberFormat="1" applyFont="1" applyFill="1" applyBorder="1" applyAlignment="1">
      <alignment vertical="center"/>
    </xf>
    <xf numFmtId="0" fontId="13" fillId="0" borderId="0" xfId="0" applyFont="1" applyFill="1"/>
    <xf numFmtId="3" fontId="5" fillId="0" borderId="1" xfId="2" applyNumberFormat="1" applyFont="1" applyFill="1" applyBorder="1" applyAlignment="1">
      <alignment vertical="center"/>
    </xf>
    <xf numFmtId="0" fontId="6" fillId="0" borderId="0" xfId="0" applyFont="1" applyAlignment="1">
      <alignment horizontal="left"/>
    </xf>
    <xf numFmtId="0" fontId="15" fillId="0" borderId="0" xfId="2" applyFont="1"/>
    <xf numFmtId="3" fontId="4" fillId="0" borderId="1" xfId="2" applyNumberFormat="1" applyFont="1" applyBorder="1" applyAlignment="1">
      <alignment vertical="center"/>
    </xf>
    <xf numFmtId="0" fontId="5" fillId="0" borderId="1" xfId="2" applyFont="1" applyBorder="1" applyAlignment="1">
      <alignment horizontal="left"/>
    </xf>
    <xf numFmtId="3" fontId="16" fillId="0" borderId="1" xfId="2" applyNumberFormat="1" applyFont="1" applyBorder="1"/>
    <xf numFmtId="0" fontId="2" fillId="0" borderId="0" xfId="2" applyFont="1" applyAlignment="1">
      <alignment horizontal="left"/>
    </xf>
    <xf numFmtId="0" fontId="2" fillId="0" borderId="0" xfId="2" applyFont="1" applyFill="1"/>
    <xf numFmtId="164" fontId="4" fillId="0" borderId="1" xfId="2" applyNumberFormat="1" applyFont="1" applyBorder="1" applyAlignment="1">
      <alignment vertical="center"/>
    </xf>
    <xf numFmtId="3" fontId="16" fillId="0" borderId="0" xfId="2" applyNumberFormat="1" applyFont="1" applyBorder="1"/>
    <xf numFmtId="164" fontId="4" fillId="0" borderId="3" xfId="2" applyNumberFormat="1" applyFont="1" applyBorder="1" applyAlignment="1">
      <alignment vertical="center"/>
    </xf>
    <xf numFmtId="1" fontId="2" fillId="0" borderId="0" xfId="2" applyNumberFormat="1" applyFont="1"/>
    <xf numFmtId="0" fontId="4" fillId="0" borderId="9" xfId="2" applyFont="1" applyBorder="1" applyAlignment="1">
      <alignment horizontal="left"/>
    </xf>
    <xf numFmtId="164" fontId="4" fillId="0" borderId="9" xfId="2" applyNumberFormat="1" applyFont="1" applyBorder="1" applyAlignment="1">
      <alignment vertical="center"/>
    </xf>
    <xf numFmtId="164" fontId="16" fillId="0" borderId="9" xfId="2" applyNumberFormat="1" applyFont="1" applyBorder="1"/>
    <xf numFmtId="0" fontId="14" fillId="0" borderId="0" xfId="0" applyFont="1" applyAlignment="1">
      <alignment horizontal="right"/>
    </xf>
    <xf numFmtId="0" fontId="4" fillId="0" borderId="3" xfId="2" applyFont="1" applyBorder="1" applyAlignment="1">
      <alignment vertical="center"/>
    </xf>
    <xf numFmtId="164" fontId="20" fillId="0" borderId="1" xfId="2" applyNumberFormat="1" applyFont="1" applyBorder="1" applyAlignment="1">
      <alignment vertical="center"/>
    </xf>
    <xf numFmtId="2" fontId="0" fillId="0" borderId="0" xfId="0" applyNumberFormat="1"/>
    <xf numFmtId="0" fontId="4" fillId="0" borderId="6" xfId="2" applyFont="1" applyBorder="1" applyAlignment="1">
      <alignment horizontal="left" vertical="center"/>
    </xf>
    <xf numFmtId="0" fontId="4" fillId="0" borderId="3" xfId="2" applyFont="1" applyBorder="1" applyAlignment="1">
      <alignment horizontal="left" vertical="center"/>
    </xf>
    <xf numFmtId="3" fontId="4" fillId="0" borderId="6" xfId="2" applyNumberFormat="1" applyFont="1" applyBorder="1" applyAlignment="1">
      <alignment vertical="center"/>
    </xf>
    <xf numFmtId="164" fontId="4" fillId="0" borderId="6" xfId="2" applyNumberFormat="1" applyFont="1" applyBorder="1" applyAlignment="1">
      <alignment vertical="center"/>
    </xf>
    <xf numFmtId="0" fontId="4" fillId="0" borderId="11" xfId="2" applyFont="1" applyBorder="1" applyAlignment="1">
      <alignment horizontal="left"/>
    </xf>
    <xf numFmtId="0" fontId="4" fillId="0" borderId="12" xfId="2" applyFont="1" applyBorder="1" applyAlignment="1">
      <alignment horizontal="left"/>
    </xf>
    <xf numFmtId="0" fontId="5" fillId="0" borderId="6" xfId="2" applyFont="1" applyBorder="1" applyAlignment="1">
      <alignment horizontal="left" vertical="center"/>
    </xf>
    <xf numFmtId="0" fontId="4" fillId="0" borderId="11" xfId="2" applyFont="1" applyBorder="1" applyAlignment="1">
      <alignment horizontal="left" vertical="center"/>
    </xf>
    <xf numFmtId="0" fontId="4" fillId="0" borderId="1" xfId="2" applyFont="1" applyBorder="1" applyAlignment="1">
      <alignment horizontal="center"/>
    </xf>
    <xf numFmtId="3" fontId="4" fillId="0" borderId="9" xfId="2" applyNumberFormat="1" applyFont="1" applyBorder="1" applyAlignment="1">
      <alignment vertical="center"/>
    </xf>
    <xf numFmtId="3" fontId="4" fillId="0" borderId="10" xfId="2" applyNumberFormat="1" applyFont="1" applyBorder="1" applyAlignment="1">
      <alignment vertical="center"/>
    </xf>
    <xf numFmtId="3" fontId="4" fillId="0" borderId="15" xfId="2" applyNumberFormat="1" applyFont="1" applyBorder="1" applyAlignment="1">
      <alignment vertical="center"/>
    </xf>
    <xf numFmtId="3" fontId="4" fillId="0" borderId="15" xfId="2" applyNumberFormat="1" applyFont="1" applyFill="1" applyBorder="1" applyAlignment="1">
      <alignment vertical="center"/>
    </xf>
    <xf numFmtId="3" fontId="16" fillId="0" borderId="15" xfId="2" applyNumberFormat="1" applyFont="1" applyBorder="1"/>
    <xf numFmtId="3" fontId="4" fillId="0" borderId="20" xfId="2" applyNumberFormat="1" applyFont="1" applyBorder="1" applyAlignment="1">
      <alignment vertical="center"/>
    </xf>
    <xf numFmtId="3" fontId="4" fillId="0" borderId="20" xfId="2" applyNumberFormat="1" applyFont="1" applyFill="1" applyBorder="1" applyAlignment="1">
      <alignment vertical="center"/>
    </xf>
    <xf numFmtId="3" fontId="16" fillId="0" borderId="20" xfId="2" applyNumberFormat="1" applyFont="1" applyBorder="1"/>
    <xf numFmtId="3" fontId="4" fillId="0" borderId="25" xfId="2" applyNumberFormat="1" applyFont="1" applyBorder="1" applyAlignment="1">
      <alignment vertical="center"/>
    </xf>
    <xf numFmtId="3" fontId="16" fillId="0" borderId="25" xfId="2" applyNumberFormat="1" applyFont="1" applyBorder="1"/>
    <xf numFmtId="0" fontId="23" fillId="0" borderId="0" xfId="2" applyFont="1" applyAlignment="1">
      <alignment horizontal="left"/>
    </xf>
    <xf numFmtId="164" fontId="16" fillId="0" borderId="0" xfId="2" applyNumberFormat="1" applyFont="1" applyBorder="1"/>
    <xf numFmtId="0" fontId="3" fillId="0" borderId="0" xfId="2" applyBorder="1"/>
    <xf numFmtId="9" fontId="2" fillId="0" borderId="0" xfId="2" applyNumberFormat="1" applyFont="1" applyFill="1" applyBorder="1" applyAlignment="1">
      <alignment horizontal="left"/>
    </xf>
    <xf numFmtId="0" fontId="3" fillId="0" borderId="0" xfId="2" applyAlignment="1">
      <alignment vertical="center"/>
    </xf>
    <xf numFmtId="0" fontId="23" fillId="7" borderId="0" xfId="2" applyFont="1" applyFill="1" applyBorder="1" applyAlignment="1">
      <alignment horizontal="left"/>
    </xf>
    <xf numFmtId="0" fontId="23" fillId="10" borderId="0" xfId="2" applyFont="1" applyFill="1" applyBorder="1" applyAlignment="1">
      <alignment horizontal="left"/>
    </xf>
    <xf numFmtId="0" fontId="2" fillId="0" borderId="0" xfId="2" applyFont="1" applyFill="1" applyAlignment="1">
      <alignment horizontal="left"/>
    </xf>
    <xf numFmtId="0" fontId="23" fillId="0" borderId="0" xfId="2" applyFont="1" applyFill="1" applyAlignment="1">
      <alignment horizontal="center"/>
    </xf>
    <xf numFmtId="0" fontId="3" fillId="0" borderId="0" xfId="2" applyFill="1"/>
    <xf numFmtId="0" fontId="2" fillId="0" borderId="0" xfId="2" applyFont="1" applyAlignment="1">
      <alignment vertical="center"/>
    </xf>
    <xf numFmtId="9" fontId="24" fillId="0" borderId="1" xfId="3" applyFont="1" applyBorder="1" applyAlignment="1">
      <alignment horizontal="center" vertical="center"/>
    </xf>
    <xf numFmtId="0" fontId="2" fillId="0" borderId="0" xfId="2" applyFont="1" applyBorder="1" applyAlignment="1">
      <alignment vertical="center"/>
    </xf>
    <xf numFmtId="0" fontId="15" fillId="0" borderId="0" xfId="2" applyFont="1" applyAlignment="1">
      <alignment vertical="center"/>
    </xf>
    <xf numFmtId="0" fontId="2" fillId="0" borderId="0" xfId="2" applyFont="1" applyAlignment="1">
      <alignment horizontal="right" vertical="center" indent="1"/>
    </xf>
    <xf numFmtId="0" fontId="4" fillId="0" borderId="0" xfId="2" applyFont="1" applyBorder="1" applyAlignment="1">
      <alignment horizontal="left"/>
    </xf>
    <xf numFmtId="164" fontId="4" fillId="0" borderId="0" xfId="2" applyNumberFormat="1" applyFont="1" applyBorder="1" applyAlignment="1">
      <alignment vertical="center"/>
    </xf>
    <xf numFmtId="0" fontId="4" fillId="0" borderId="3" xfId="2" applyFont="1" applyBorder="1" applyAlignment="1">
      <alignment vertical="center"/>
    </xf>
    <xf numFmtId="0" fontId="4" fillId="0" borderId="1" xfId="2" applyFont="1" applyBorder="1" applyAlignment="1">
      <alignment vertical="center"/>
    </xf>
    <xf numFmtId="164" fontId="4" fillId="0" borderId="1" xfId="2" applyNumberFormat="1" applyFont="1" applyBorder="1" applyAlignment="1">
      <alignment horizontal="right" vertical="center"/>
    </xf>
    <xf numFmtId="164" fontId="4" fillId="0" borderId="22" xfId="2" applyNumberFormat="1" applyFont="1" applyBorder="1" applyAlignment="1">
      <alignment vertical="center"/>
    </xf>
    <xf numFmtId="0" fontId="5" fillId="0" borderId="26" xfId="2" applyFont="1" applyBorder="1" applyAlignment="1">
      <alignment horizontal="left" vertical="center"/>
    </xf>
    <xf numFmtId="0" fontId="8" fillId="0" borderId="26" xfId="2" applyFont="1" applyBorder="1" applyAlignment="1">
      <alignment vertical="center"/>
    </xf>
    <xf numFmtId="0" fontId="8" fillId="0" borderId="0" xfId="2" applyFont="1"/>
    <xf numFmtId="0" fontId="8" fillId="0" borderId="0" xfId="2" applyFont="1" applyFill="1"/>
    <xf numFmtId="0" fontId="23" fillId="0" borderId="0" xfId="2" applyFont="1"/>
    <xf numFmtId="0" fontId="26" fillId="0" borderId="0" xfId="5" applyFont="1" applyAlignment="1">
      <alignment horizontal="left"/>
    </xf>
    <xf numFmtId="0" fontId="25" fillId="0" borderId="0" xfId="5"/>
    <xf numFmtId="0" fontId="5" fillId="0" borderId="0" xfId="5" applyFont="1" applyAlignment="1">
      <alignment horizontal="left"/>
    </xf>
    <xf numFmtId="0" fontId="4" fillId="0" borderId="0" xfId="5" applyFont="1" applyAlignment="1">
      <alignment horizontal="left"/>
    </xf>
    <xf numFmtId="0" fontId="4" fillId="0" borderId="0" xfId="5" applyFont="1" applyAlignment="1">
      <alignment horizontal="right"/>
    </xf>
    <xf numFmtId="0" fontId="4" fillId="0" borderId="3" xfId="2" applyFont="1" applyBorder="1" applyAlignment="1">
      <alignment vertical="center"/>
    </xf>
    <xf numFmtId="0" fontId="22" fillId="0" borderId="21" xfId="0" applyFont="1" applyBorder="1" applyAlignment="1">
      <alignment vertical="center" wrapText="1"/>
    </xf>
    <xf numFmtId="0" fontId="22" fillId="0" borderId="0" xfId="0" applyFont="1" applyAlignment="1">
      <alignment vertical="center" wrapText="1"/>
    </xf>
    <xf numFmtId="3" fontId="14" fillId="4" borderId="1" xfId="2" applyNumberFormat="1" applyFont="1" applyFill="1" applyBorder="1" applyAlignment="1">
      <alignment vertical="center"/>
    </xf>
    <xf numFmtId="3" fontId="4" fillId="0" borderId="3" xfId="2" applyNumberFormat="1" applyFont="1" applyFill="1" applyBorder="1" applyAlignment="1">
      <alignment vertical="center"/>
    </xf>
    <xf numFmtId="3" fontId="5" fillId="0" borderId="7" xfId="2" applyNumberFormat="1" applyFont="1" applyFill="1" applyBorder="1" applyAlignment="1">
      <alignment vertical="center"/>
    </xf>
    <xf numFmtId="3" fontId="4" fillId="0" borderId="6" xfId="2" applyNumberFormat="1" applyFont="1" applyFill="1" applyBorder="1" applyAlignment="1">
      <alignment vertical="center"/>
    </xf>
    <xf numFmtId="3" fontId="5" fillId="0" borderId="27" xfId="2" applyNumberFormat="1" applyFont="1" applyFill="1" applyBorder="1" applyAlignment="1">
      <alignment vertical="center"/>
    </xf>
    <xf numFmtId="164" fontId="5" fillId="0" borderId="27" xfId="2" applyNumberFormat="1" applyFont="1" applyFill="1" applyBorder="1" applyAlignment="1">
      <alignment vertical="center"/>
    </xf>
    <xf numFmtId="9" fontId="4" fillId="3" borderId="3" xfId="3" applyFont="1" applyFill="1" applyBorder="1" applyAlignment="1">
      <alignment vertical="center"/>
    </xf>
    <xf numFmtId="9" fontId="4" fillId="11" borderId="3" xfId="3" applyFont="1" applyFill="1" applyBorder="1" applyAlignment="1">
      <alignment vertical="center"/>
    </xf>
    <xf numFmtId="165" fontId="5" fillId="0" borderId="27" xfId="2" applyNumberFormat="1" applyFont="1" applyFill="1" applyBorder="1" applyAlignment="1">
      <alignment vertical="center"/>
    </xf>
    <xf numFmtId="0" fontId="4" fillId="0" borderId="6" xfId="2" applyFont="1" applyBorder="1" applyAlignment="1">
      <alignment horizontal="left" vertical="center"/>
    </xf>
    <xf numFmtId="164" fontId="4" fillId="0" borderId="3" xfId="2" applyNumberFormat="1" applyFont="1" applyFill="1" applyBorder="1" applyAlignment="1">
      <alignment vertical="center"/>
    </xf>
    <xf numFmtId="0" fontId="4" fillId="0" borderId="6" xfId="2" applyFont="1" applyBorder="1" applyAlignment="1">
      <alignment horizontal="left"/>
    </xf>
    <xf numFmtId="164" fontId="4" fillId="0" borderId="3" xfId="2" applyNumberFormat="1" applyFont="1" applyBorder="1" applyAlignment="1">
      <alignment horizontal="right" vertical="center"/>
    </xf>
    <xf numFmtId="0" fontId="2" fillId="0" borderId="21" xfId="2" applyFont="1" applyBorder="1" applyAlignment="1">
      <alignment horizontal="left"/>
    </xf>
    <xf numFmtId="164" fontId="4" fillId="0" borderId="3" xfId="2" applyNumberFormat="1" applyFont="1" applyFill="1" applyBorder="1" applyAlignment="1">
      <alignment horizontal="right" vertical="center"/>
    </xf>
    <xf numFmtId="0" fontId="4" fillId="0" borderId="1" xfId="2" applyFont="1" applyFill="1" applyBorder="1" applyAlignment="1">
      <alignment horizontal="center" vertical="center"/>
    </xf>
    <xf numFmtId="0" fontId="4" fillId="0" borderId="3" xfId="2" applyFont="1" applyBorder="1" applyAlignment="1">
      <alignment vertical="center"/>
    </xf>
    <xf numFmtId="0" fontId="2" fillId="0" borderId="19" xfId="2" applyFont="1" applyBorder="1" applyAlignment="1">
      <alignment horizontal="left" vertical="center" indent="1"/>
    </xf>
    <xf numFmtId="0" fontId="2" fillId="0" borderId="0" xfId="2" applyFont="1" applyBorder="1" applyAlignment="1">
      <alignment horizontal="left" vertical="center" indent="1"/>
    </xf>
    <xf numFmtId="0" fontId="2" fillId="0" borderId="0" xfId="2" applyFont="1" applyAlignment="1">
      <alignment horizontal="left" vertical="center" indent="1"/>
    </xf>
    <xf numFmtId="0" fontId="2" fillId="0" borderId="0" xfId="2" applyFont="1" applyAlignment="1">
      <alignment horizontal="center" vertical="center"/>
    </xf>
    <xf numFmtId="0" fontId="4" fillId="0" borderId="6" xfId="2" applyFont="1" applyBorder="1" applyAlignment="1">
      <alignment horizontal="center" vertical="center"/>
    </xf>
    <xf numFmtId="0" fontId="2" fillId="0" borderId="0" xfId="2" quotePrefix="1" applyFont="1" applyAlignment="1">
      <alignment horizontal="center" vertical="center"/>
    </xf>
    <xf numFmtId="0" fontId="0" fillId="0" borderId="0" xfId="0" applyAlignment="1">
      <alignment horizontal="center"/>
    </xf>
    <xf numFmtId="0" fontId="23" fillId="0" borderId="0" xfId="2" applyFont="1" applyAlignment="1">
      <alignment vertical="center"/>
    </xf>
    <xf numFmtId="0" fontId="23" fillId="0" borderId="0" xfId="2" applyFont="1" applyBorder="1" applyAlignment="1">
      <alignment vertical="center"/>
    </xf>
    <xf numFmtId="9" fontId="24" fillId="0" borderId="0" xfId="3" applyFont="1" applyBorder="1" applyAlignment="1">
      <alignment horizontal="center" vertical="center"/>
    </xf>
    <xf numFmtId="0" fontId="29" fillId="0" borderId="0" xfId="2" applyFont="1" applyAlignment="1">
      <alignment horizontal="center"/>
    </xf>
    <xf numFmtId="0" fontId="29" fillId="0" borderId="0" xfId="2" applyFont="1" applyBorder="1" applyAlignment="1">
      <alignment horizontal="center"/>
    </xf>
    <xf numFmtId="0" fontId="29" fillId="0" borderId="0" xfId="2" applyFont="1" applyBorder="1" applyAlignment="1"/>
    <xf numFmtId="0" fontId="0" fillId="0" borderId="0" xfId="0" applyAlignment="1">
      <alignment vertical="center"/>
    </xf>
    <xf numFmtId="0" fontId="7" fillId="0" borderId="0" xfId="0" applyFont="1" applyBorder="1" applyAlignment="1">
      <alignment vertical="center" wrapText="1"/>
    </xf>
    <xf numFmtId="0" fontId="6" fillId="0" borderId="0" xfId="0" applyFont="1" applyAlignment="1">
      <alignment horizontal="center" vertical="center"/>
    </xf>
    <xf numFmtId="0" fontId="4" fillId="0" borderId="1" xfId="2" applyFont="1" applyBorder="1" applyAlignment="1">
      <alignment horizontal="center" vertical="center"/>
    </xf>
    <xf numFmtId="164" fontId="4" fillId="0" borderId="6" xfId="2" applyNumberFormat="1" applyFont="1" applyFill="1" applyBorder="1" applyAlignment="1">
      <alignment vertical="center"/>
    </xf>
    <xf numFmtId="0" fontId="5" fillId="0" borderId="14" xfId="2" applyFont="1" applyBorder="1" applyAlignment="1">
      <alignment horizontal="left"/>
    </xf>
    <xf numFmtId="0" fontId="4" fillId="0" borderId="14" xfId="2" applyFont="1" applyBorder="1" applyAlignment="1">
      <alignment horizontal="left"/>
    </xf>
    <xf numFmtId="0" fontId="4" fillId="0" borderId="14" xfId="2" applyFont="1" applyFill="1" applyBorder="1" applyAlignment="1">
      <alignment horizontal="left"/>
    </xf>
    <xf numFmtId="0" fontId="4" fillId="0" borderId="15" xfId="2" applyFont="1" applyBorder="1" applyAlignment="1">
      <alignment horizontal="center"/>
    </xf>
    <xf numFmtId="0" fontId="4" fillId="0" borderId="25" xfId="2" applyFont="1" applyBorder="1" applyAlignment="1">
      <alignment horizontal="center"/>
    </xf>
    <xf numFmtId="0" fontId="4" fillId="0" borderId="10" xfId="2" applyFont="1" applyBorder="1" applyAlignment="1">
      <alignment horizontal="center"/>
    </xf>
    <xf numFmtId="0" fontId="4" fillId="0" borderId="9" xfId="2" applyFont="1" applyBorder="1" applyAlignment="1">
      <alignment horizontal="center"/>
    </xf>
    <xf numFmtId="0" fontId="18" fillId="9" borderId="20" xfId="2" applyFont="1" applyFill="1" applyBorder="1" applyAlignment="1">
      <alignment horizontal="center"/>
    </xf>
    <xf numFmtId="1" fontId="7" fillId="0" borderId="0" xfId="0" applyNumberFormat="1" applyFont="1" applyAlignment="1">
      <alignment vertical="center"/>
    </xf>
    <xf numFmtId="0" fontId="5" fillId="0" borderId="1" xfId="2" applyFont="1" applyBorder="1" applyAlignment="1">
      <alignment horizontal="left" vertical="center"/>
    </xf>
    <xf numFmtId="0" fontId="4" fillId="0" borderId="2" xfId="2" applyFont="1" applyFill="1" applyBorder="1" applyAlignment="1">
      <alignment horizontal="center" vertical="center"/>
    </xf>
    <xf numFmtId="0" fontId="4" fillId="0" borderId="1" xfId="2" quotePrefix="1" applyFont="1" applyBorder="1" applyAlignment="1">
      <alignment horizontal="center" vertical="center"/>
    </xf>
    <xf numFmtId="164" fontId="4" fillId="0" borderId="3" xfId="2" applyNumberFormat="1" applyFont="1" applyBorder="1" applyAlignment="1">
      <alignment horizontal="right" vertical="center"/>
    </xf>
    <xf numFmtId="0" fontId="4" fillId="0" borderId="3" xfId="2" applyFont="1" applyBorder="1" applyAlignment="1">
      <alignment vertical="center"/>
    </xf>
    <xf numFmtId="0" fontId="30" fillId="12" borderId="0" xfId="2" applyFont="1" applyFill="1" applyAlignment="1">
      <alignment horizontal="center"/>
    </xf>
    <xf numFmtId="0" fontId="30" fillId="13" borderId="0" xfId="2" applyFont="1" applyFill="1" applyAlignment="1">
      <alignment horizontal="center"/>
    </xf>
    <xf numFmtId="0" fontId="31" fillId="0" borderId="0" xfId="2" applyFont="1" applyAlignment="1">
      <alignment horizontal="center" vertical="top"/>
    </xf>
    <xf numFmtId="0" fontId="4" fillId="8" borderId="13" xfId="2" applyFont="1" applyFill="1" applyBorder="1" applyAlignment="1">
      <alignment horizontal="center" vertical="center"/>
    </xf>
    <xf numFmtId="0" fontId="8" fillId="0" borderId="0" xfId="2" applyFont="1" applyAlignment="1">
      <alignment horizontal="left" vertical="center" indent="1"/>
    </xf>
    <xf numFmtId="164" fontId="20" fillId="0" borderId="26" xfId="2" applyNumberFormat="1" applyFont="1" applyBorder="1" applyAlignment="1">
      <alignment horizontal="center" vertical="center"/>
    </xf>
    <xf numFmtId="164" fontId="20" fillId="0" borderId="1" xfId="2" applyNumberFormat="1" applyFont="1" applyBorder="1" applyAlignment="1">
      <alignment horizontal="center" vertical="center"/>
    </xf>
    <xf numFmtId="0" fontId="4" fillId="0" borderId="3" xfId="2" applyFont="1" applyFill="1" applyBorder="1" applyAlignment="1">
      <alignment horizontal="left" vertical="center"/>
    </xf>
    <xf numFmtId="0" fontId="4" fillId="0" borderId="3" xfId="2" applyFont="1" applyFill="1" applyBorder="1" applyAlignment="1">
      <alignment vertical="center"/>
    </xf>
    <xf numFmtId="0" fontId="8" fillId="0" borderId="0" xfId="2" applyFont="1" applyAlignment="1">
      <alignment horizontal="left" vertical="center"/>
    </xf>
    <xf numFmtId="0" fontId="3" fillId="0" borderId="0" xfId="2" applyAlignment="1">
      <alignment horizontal="center" vertical="center"/>
    </xf>
    <xf numFmtId="0" fontId="4" fillId="0" borderId="0" xfId="2" applyFont="1" applyBorder="1" applyAlignment="1">
      <alignment vertical="center"/>
    </xf>
    <xf numFmtId="0" fontId="22" fillId="0" borderId="0" xfId="0" applyFont="1" applyAlignment="1">
      <alignment horizontal="right"/>
    </xf>
    <xf numFmtId="0" fontId="4" fillId="0" borderId="3" xfId="2" applyFont="1" applyBorder="1" applyAlignment="1">
      <alignment vertical="center"/>
    </xf>
    <xf numFmtId="0" fontId="4" fillId="0" borderId="3" xfId="2" applyFont="1" applyBorder="1" applyAlignment="1">
      <alignment vertical="center"/>
    </xf>
    <xf numFmtId="0" fontId="4" fillId="0" borderId="6" xfId="2" applyFont="1" applyBorder="1" applyAlignment="1">
      <alignment horizontal="center" vertical="center"/>
    </xf>
    <xf numFmtId="0" fontId="32" fillId="0" borderId="0" xfId="0" applyFont="1"/>
    <xf numFmtId="0" fontId="7" fillId="0" borderId="0" xfId="0" applyFont="1" applyAlignment="1">
      <alignment vertical="center"/>
    </xf>
    <xf numFmtId="0" fontId="7" fillId="0" borderId="0" xfId="0" applyFont="1" applyAlignment="1">
      <alignment vertical="center" wrapText="1"/>
    </xf>
    <xf numFmtId="0" fontId="34" fillId="0" borderId="14" xfId="6" applyFont="1" applyBorder="1" applyAlignment="1">
      <alignment vertical="center"/>
    </xf>
    <xf numFmtId="0" fontId="34" fillId="0" borderId="14" xfId="6" applyFont="1" applyBorder="1" applyAlignment="1">
      <alignment vertical="center" wrapText="1"/>
    </xf>
    <xf numFmtId="0" fontId="7" fillId="0" borderId="1"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32" fillId="0" borderId="2" xfId="0" applyFont="1" applyBorder="1" applyAlignment="1">
      <alignment vertical="center"/>
    </xf>
    <xf numFmtId="3" fontId="4" fillId="14" borderId="1" xfId="2" applyNumberFormat="1" applyFont="1" applyFill="1" applyBorder="1" applyAlignment="1">
      <alignment vertical="center"/>
    </xf>
    <xf numFmtId="3" fontId="4" fillId="14" borderId="3" xfId="2" applyNumberFormat="1" applyFont="1" applyFill="1" applyBorder="1" applyAlignment="1">
      <alignment vertical="center"/>
    </xf>
    <xf numFmtId="3" fontId="4" fillId="14" borderId="6" xfId="2" applyNumberFormat="1" applyFont="1" applyFill="1" applyBorder="1" applyAlignment="1">
      <alignment vertical="center"/>
    </xf>
    <xf numFmtId="164" fontId="4" fillId="14" borderId="3" xfId="2" applyNumberFormat="1" applyFont="1" applyFill="1" applyBorder="1" applyAlignment="1">
      <alignment vertical="center"/>
    </xf>
    <xf numFmtId="164" fontId="4" fillId="14" borderId="1" xfId="2" applyNumberFormat="1" applyFont="1" applyFill="1" applyBorder="1" applyAlignment="1">
      <alignment vertical="center"/>
    </xf>
    <xf numFmtId="164" fontId="4" fillId="14" borderId="6" xfId="2" applyNumberFormat="1" applyFont="1" applyFill="1" applyBorder="1" applyAlignment="1">
      <alignment vertical="center"/>
    </xf>
    <xf numFmtId="3" fontId="4" fillId="15" borderId="1" xfId="2" applyNumberFormat="1" applyFont="1" applyFill="1" applyBorder="1" applyAlignment="1">
      <alignment vertical="center"/>
    </xf>
    <xf numFmtId="164" fontId="4" fillId="15" borderId="1" xfId="2" applyNumberFormat="1" applyFont="1" applyFill="1" applyBorder="1" applyAlignment="1">
      <alignment vertical="center"/>
    </xf>
    <xf numFmtId="0" fontId="13" fillId="0" borderId="0" xfId="0" applyFont="1" applyAlignment="1">
      <alignment vertical="center"/>
    </xf>
    <xf numFmtId="3" fontId="2" fillId="14" borderId="1" xfId="2" applyNumberFormat="1" applyFont="1" applyFill="1" applyBorder="1" applyAlignment="1">
      <alignment vertical="center"/>
    </xf>
    <xf numFmtId="0" fontId="5" fillId="0" borderId="1" xfId="2" quotePrefix="1" applyFont="1" applyFill="1" applyBorder="1" applyAlignment="1">
      <alignment horizontal="left" vertical="center"/>
    </xf>
    <xf numFmtId="3" fontId="16" fillId="0" borderId="3" xfId="2" applyNumberFormat="1" applyFont="1" applyBorder="1"/>
    <xf numFmtId="0" fontId="23" fillId="0" borderId="0" xfId="2" applyFont="1" applyAlignment="1">
      <alignment horizontal="left" vertical="center" indent="1"/>
    </xf>
    <xf numFmtId="0" fontId="22" fillId="0" borderId="0" xfId="0" applyFont="1"/>
    <xf numFmtId="0" fontId="2" fillId="0" borderId="0" xfId="5" applyFont="1"/>
    <xf numFmtId="0" fontId="2" fillId="0" borderId="0" xfId="5" applyFont="1" applyAlignment="1">
      <alignment wrapText="1"/>
    </xf>
    <xf numFmtId="0" fontId="34" fillId="0" borderId="0" xfId="6" applyFont="1" applyAlignment="1">
      <alignment wrapText="1"/>
    </xf>
    <xf numFmtId="0" fontId="8" fillId="0" borderId="0" xfId="5" applyFont="1" applyAlignment="1">
      <alignment horizontal="right"/>
    </xf>
    <xf numFmtId="0" fontId="23" fillId="0" borderId="0" xfId="5" applyFont="1" applyAlignment="1">
      <alignment wrapText="1"/>
    </xf>
    <xf numFmtId="0" fontId="4" fillId="14" borderId="0" xfId="5" applyFont="1" applyFill="1" applyAlignment="1">
      <alignment horizontal="left" vertical="center"/>
    </xf>
    <xf numFmtId="0" fontId="4" fillId="0" borderId="3" xfId="2" applyFont="1" applyBorder="1" applyAlignment="1">
      <alignment vertical="center"/>
    </xf>
    <xf numFmtId="0" fontId="7" fillId="5" borderId="0" xfId="0" applyFont="1" applyFill="1"/>
    <xf numFmtId="0" fontId="35" fillId="0" borderId="0" xfId="0" applyFont="1" applyAlignment="1"/>
    <xf numFmtId="0" fontId="7" fillId="0" borderId="28" xfId="0" applyFont="1" applyBorder="1"/>
    <xf numFmtId="0" fontId="7" fillId="0" borderId="29" xfId="0" applyFont="1" applyBorder="1"/>
    <xf numFmtId="0" fontId="7" fillId="0" borderId="29" xfId="0" applyFont="1" applyBorder="1" applyAlignment="1">
      <alignment horizontal="center"/>
    </xf>
    <xf numFmtId="0" fontId="7" fillId="0" borderId="30" xfId="0" applyFont="1" applyBorder="1" applyAlignment="1">
      <alignment horizontal="center"/>
    </xf>
    <xf numFmtId="0" fontId="7" fillId="16" borderId="0" xfId="0" applyFont="1" applyFill="1"/>
    <xf numFmtId="0" fontId="7" fillId="0" borderId="30" xfId="0" applyFont="1" applyBorder="1"/>
    <xf numFmtId="0" fontId="2" fillId="0" borderId="28" xfId="0" applyFont="1" applyBorder="1"/>
    <xf numFmtId="0" fontId="7" fillId="0" borderId="31" xfId="0" applyFont="1" applyBorder="1"/>
    <xf numFmtId="0" fontId="36" fillId="0" borderId="0" xfId="2" applyFont="1" applyAlignment="1">
      <alignment horizontal="center"/>
    </xf>
    <xf numFmtId="0" fontId="23" fillId="0" borderId="0" xfId="2" applyFont="1" applyAlignment="1">
      <alignment horizontal="left" vertical="center" indent="2"/>
    </xf>
    <xf numFmtId="3" fontId="4" fillId="0" borderId="5" xfId="2" applyNumberFormat="1" applyFont="1" applyFill="1" applyBorder="1" applyAlignment="1">
      <alignment horizontal="center" vertical="center" wrapText="1"/>
    </xf>
    <xf numFmtId="164" fontId="4" fillId="0" borderId="3" xfId="2" applyNumberFormat="1" applyFont="1" applyBorder="1" applyAlignment="1">
      <alignment horizontal="right" vertical="center"/>
    </xf>
    <xf numFmtId="0" fontId="4" fillId="0" borderId="3" xfId="2" applyFont="1" applyBorder="1" applyAlignment="1">
      <alignment vertical="center"/>
    </xf>
    <xf numFmtId="0" fontId="2" fillId="0" borderId="1" xfId="5" applyFont="1" applyBorder="1" applyAlignment="1">
      <alignment horizontal="center" vertical="center"/>
    </xf>
    <xf numFmtId="0" fontId="21" fillId="9" borderId="33" xfId="5" applyFont="1" applyFill="1" applyBorder="1" applyAlignment="1">
      <alignment horizontal="center" vertical="center"/>
    </xf>
    <xf numFmtId="0" fontId="21" fillId="0" borderId="0" xfId="5" applyFont="1" applyAlignment="1">
      <alignment horizontal="center" vertical="center"/>
    </xf>
    <xf numFmtId="0" fontId="21" fillId="9" borderId="32" xfId="5" applyFont="1" applyFill="1" applyBorder="1" applyAlignment="1">
      <alignment horizontal="center" vertical="center"/>
    </xf>
    <xf numFmtId="0" fontId="21" fillId="9" borderId="34" xfId="5" applyFont="1" applyFill="1" applyBorder="1" applyAlignment="1">
      <alignment horizontal="center" vertical="center"/>
    </xf>
    <xf numFmtId="0" fontId="34" fillId="0" borderId="0" xfId="6" applyFont="1"/>
    <xf numFmtId="0" fontId="7" fillId="0" borderId="0" xfId="0" applyFont="1" applyBorder="1"/>
    <xf numFmtId="0" fontId="7" fillId="0" borderId="35" xfId="0" applyFont="1" applyBorder="1"/>
    <xf numFmtId="0" fontId="7" fillId="18" borderId="1" xfId="0" applyFont="1" applyFill="1" applyBorder="1"/>
    <xf numFmtId="9" fontId="7" fillId="18" borderId="1" xfId="3" applyFont="1" applyFill="1" applyBorder="1"/>
    <xf numFmtId="0" fontId="7" fillId="0" borderId="18" xfId="0" applyFont="1" applyBorder="1" applyAlignment="1">
      <alignment vertical="center" wrapText="1"/>
    </xf>
    <xf numFmtId="0" fontId="22" fillId="0" borderId="17" xfId="0" applyFont="1" applyBorder="1" applyAlignment="1">
      <alignment horizontal="right" vertical="center"/>
    </xf>
    <xf numFmtId="0" fontId="22" fillId="0" borderId="19" xfId="0" applyFont="1" applyBorder="1" applyAlignment="1">
      <alignment horizontal="right" vertical="center" wrapText="1"/>
    </xf>
    <xf numFmtId="0" fontId="22" fillId="0" borderId="0" xfId="0" applyFont="1" applyBorder="1" applyAlignment="1">
      <alignment wrapText="1"/>
    </xf>
    <xf numFmtId="3" fontId="4" fillId="0" borderId="0" xfId="2" applyNumberFormat="1" applyFont="1" applyFill="1" applyBorder="1" applyAlignment="1">
      <alignment vertical="center"/>
    </xf>
    <xf numFmtId="3" fontId="4" fillId="0" borderId="1" xfId="2" applyNumberFormat="1" applyFont="1" applyFill="1" applyBorder="1" applyAlignment="1">
      <alignment horizontal="center" vertical="center"/>
    </xf>
    <xf numFmtId="3" fontId="4" fillId="0" borderId="0" xfId="2" applyNumberFormat="1" applyFont="1" applyFill="1" applyBorder="1" applyAlignment="1">
      <alignment horizontal="center" vertical="center" wrapText="1"/>
    </xf>
    <xf numFmtId="0" fontId="5" fillId="0" borderId="1" xfId="2" applyFont="1" applyFill="1" applyBorder="1" applyAlignment="1">
      <alignment horizontal="center" vertical="center"/>
    </xf>
    <xf numFmtId="9" fontId="4" fillId="14" borderId="1" xfId="3" applyFont="1" applyFill="1" applyBorder="1" applyAlignment="1">
      <alignment vertical="center"/>
    </xf>
    <xf numFmtId="3" fontId="4" fillId="0" borderId="0" xfId="2" quotePrefix="1" applyNumberFormat="1" applyFont="1" applyFill="1" applyBorder="1" applyAlignment="1">
      <alignment horizontal="center" vertical="center" wrapText="1"/>
    </xf>
    <xf numFmtId="0" fontId="5" fillId="0" borderId="5" xfId="2" applyFont="1" applyFill="1" applyBorder="1" applyAlignment="1">
      <alignment horizontal="center" vertical="center"/>
    </xf>
    <xf numFmtId="3" fontId="4" fillId="0" borderId="5" xfId="2" applyNumberFormat="1" applyFont="1" applyFill="1" applyBorder="1" applyAlignment="1">
      <alignment horizontal="center" vertical="center"/>
    </xf>
    <xf numFmtId="0" fontId="6" fillId="0" borderId="0" xfId="0" applyFont="1" applyFill="1" applyBorder="1"/>
    <xf numFmtId="9" fontId="4" fillId="0" borderId="5" xfId="3" applyFont="1" applyFill="1" applyBorder="1" applyAlignment="1">
      <alignment vertical="center"/>
    </xf>
    <xf numFmtId="9" fontId="4" fillId="0" borderId="0" xfId="3" applyFont="1" applyFill="1" applyBorder="1" applyAlignment="1">
      <alignment vertical="center"/>
    </xf>
    <xf numFmtId="0" fontId="7" fillId="0" borderId="0" xfId="0" applyFont="1" applyFill="1" applyBorder="1" applyAlignment="1">
      <alignment horizontal="right"/>
    </xf>
    <xf numFmtId="0" fontId="2" fillId="0" borderId="1" xfId="5" applyFont="1" applyBorder="1" applyAlignment="1">
      <alignment horizontal="left" vertical="center" wrapText="1" indent="1"/>
    </xf>
    <xf numFmtId="0" fontId="22" fillId="0" borderId="1" xfId="0" applyFont="1" applyBorder="1" applyAlignment="1">
      <alignment vertical="center" wrapText="1"/>
    </xf>
    <xf numFmtId="9" fontId="7" fillId="0" borderId="0" xfId="0" applyNumberFormat="1" applyFont="1" applyAlignment="1">
      <alignment vertical="center" wrapText="1"/>
    </xf>
    <xf numFmtId="0" fontId="7" fillId="0" borderId="0" xfId="0" applyFont="1" applyFill="1"/>
    <xf numFmtId="3" fontId="4" fillId="19" borderId="1" xfId="2" applyNumberFormat="1" applyFont="1" applyFill="1" applyBorder="1" applyAlignment="1">
      <alignment vertical="center"/>
    </xf>
    <xf numFmtId="0" fontId="8" fillId="0" borderId="1" xfId="5" applyFont="1" applyBorder="1" applyAlignment="1">
      <alignment horizontal="center" vertical="center"/>
    </xf>
    <xf numFmtId="0" fontId="2" fillId="0" borderId="1" xfId="5" applyFont="1" applyBorder="1" applyAlignment="1">
      <alignment horizontal="center" vertical="center" wrapText="1"/>
    </xf>
    <xf numFmtId="0" fontId="2" fillId="0" borderId="0" xfId="5" applyFont="1" applyAlignment="1">
      <alignment wrapText="1"/>
    </xf>
    <xf numFmtId="0" fontId="32" fillId="0" borderId="2" xfId="0" applyFont="1" applyBorder="1" applyAlignment="1">
      <alignment vertical="center"/>
    </xf>
    <xf numFmtId="0" fontId="4" fillId="14" borderId="0" xfId="5" applyFont="1" applyFill="1" applyAlignment="1">
      <alignment horizontal="left" vertical="center"/>
    </xf>
    <xf numFmtId="0" fontId="7" fillId="0" borderId="0" xfId="0" applyFont="1" applyFill="1"/>
    <xf numFmtId="0" fontId="34" fillId="0" borderId="0" xfId="6" applyFont="1" applyAlignment="1">
      <alignment wrapText="1"/>
    </xf>
    <xf numFmtId="0" fontId="7" fillId="0" borderId="0" xfId="0" applyFont="1"/>
    <xf numFmtId="3" fontId="4" fillId="0" borderId="6" xfId="2" quotePrefix="1" applyNumberFormat="1" applyFont="1" applyFill="1" applyBorder="1" applyAlignment="1">
      <alignment horizontal="center" vertical="center" wrapText="1"/>
    </xf>
    <xf numFmtId="3" fontId="4" fillId="0" borderId="5" xfId="2" applyNumberFormat="1" applyFont="1" applyFill="1" applyBorder="1" applyAlignment="1">
      <alignment horizontal="center" vertical="center" wrapText="1"/>
    </xf>
    <xf numFmtId="3" fontId="4" fillId="0" borderId="3" xfId="2" applyNumberFormat="1" applyFont="1" applyFill="1" applyBorder="1" applyAlignment="1">
      <alignment horizontal="center" vertical="center" wrapText="1"/>
    </xf>
    <xf numFmtId="3" fontId="4" fillId="0" borderId="6" xfId="2" applyNumberFormat="1" applyFont="1" applyFill="1" applyBorder="1" applyAlignment="1">
      <alignment horizontal="center" vertical="center" wrapText="1"/>
    </xf>
    <xf numFmtId="0" fontId="10" fillId="5" borderId="0"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4" fillId="0" borderId="6"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1" xfId="2" applyFont="1" applyFill="1" applyBorder="1" applyAlignment="1">
      <alignment horizontal="center" vertical="center" wrapText="1"/>
    </xf>
    <xf numFmtId="0" fontId="10" fillId="3" borderId="2" xfId="0" applyFont="1" applyFill="1" applyBorder="1" applyAlignment="1">
      <alignment horizontal="center" vertical="center"/>
    </xf>
    <xf numFmtId="3" fontId="4" fillId="14" borderId="6" xfId="2" applyNumberFormat="1" applyFont="1" applyFill="1" applyBorder="1" applyAlignment="1">
      <alignment horizontal="right" vertical="center"/>
    </xf>
    <xf numFmtId="3" fontId="4" fillId="14" borderId="3" xfId="2" applyNumberFormat="1" applyFont="1" applyFill="1" applyBorder="1" applyAlignment="1">
      <alignment horizontal="right" vertical="center"/>
    </xf>
    <xf numFmtId="164" fontId="4" fillId="0" borderId="6" xfId="2" applyNumberFormat="1" applyFont="1" applyBorder="1" applyAlignment="1">
      <alignment horizontal="right" vertical="center"/>
    </xf>
    <xf numFmtId="164" fontId="4" fillId="0" borderId="3" xfId="2" applyNumberFormat="1" applyFont="1" applyBorder="1" applyAlignment="1">
      <alignment horizontal="right" vertical="center"/>
    </xf>
    <xf numFmtId="164" fontId="4" fillId="14" borderId="6" xfId="2" applyNumberFormat="1" applyFont="1" applyFill="1" applyBorder="1" applyAlignment="1">
      <alignment horizontal="right" vertical="center"/>
    </xf>
    <xf numFmtId="164" fontId="4" fillId="14" borderId="3" xfId="2" applyNumberFormat="1" applyFont="1" applyFill="1" applyBorder="1" applyAlignment="1">
      <alignment horizontal="right" vertical="center"/>
    </xf>
    <xf numFmtId="3" fontId="4" fillId="0" borderId="6" xfId="2" applyNumberFormat="1" applyFont="1" applyBorder="1" applyAlignment="1">
      <alignment horizontal="left" vertical="center"/>
    </xf>
    <xf numFmtId="3" fontId="4" fillId="0" borderId="3" xfId="2" applyNumberFormat="1" applyFont="1" applyBorder="1" applyAlignment="1">
      <alignment horizontal="left" vertical="center"/>
    </xf>
    <xf numFmtId="0" fontId="10" fillId="5" borderId="2" xfId="0" applyFont="1" applyFill="1" applyBorder="1" applyAlignment="1">
      <alignment horizontal="center" vertical="center"/>
    </xf>
    <xf numFmtId="0" fontId="10" fillId="6" borderId="0" xfId="0" applyFont="1" applyFill="1" applyBorder="1" applyAlignment="1">
      <alignment horizontal="center" vertical="center"/>
    </xf>
    <xf numFmtId="0" fontId="7" fillId="0" borderId="1"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0" xfId="0" applyFont="1" applyBorder="1" applyAlignment="1">
      <alignment horizontal="center" vertical="center" wrapText="1"/>
    </xf>
    <xf numFmtId="3" fontId="4" fillId="0" borderId="6" xfId="2" applyNumberFormat="1" applyFont="1" applyBorder="1" applyAlignment="1">
      <alignment horizontal="right" vertical="center"/>
    </xf>
    <xf numFmtId="3" fontId="4" fillId="0" borderId="3" xfId="2" applyNumberFormat="1" applyFont="1" applyBorder="1" applyAlignment="1">
      <alignment horizontal="right" vertical="center"/>
    </xf>
    <xf numFmtId="0" fontId="7" fillId="0" borderId="21" xfId="0" applyFont="1" applyBorder="1" applyAlignment="1">
      <alignment horizontal="right" vertical="center" wrapText="1"/>
    </xf>
    <xf numFmtId="0" fontId="7" fillId="0" borderId="0" xfId="0" applyFont="1" applyBorder="1" applyAlignment="1">
      <alignment horizontal="right" vertical="center" wrapText="1"/>
    </xf>
    <xf numFmtId="0" fontId="5" fillId="0" borderId="6" xfId="2" quotePrefix="1" applyFont="1" applyFill="1" applyBorder="1" applyAlignment="1">
      <alignment horizontal="left" vertical="center"/>
    </xf>
    <xf numFmtId="0" fontId="5" fillId="0" borderId="5" xfId="2" applyFont="1" applyFill="1" applyBorder="1" applyAlignment="1">
      <alignment horizontal="left" vertical="center"/>
    </xf>
    <xf numFmtId="0" fontId="5" fillId="0" borderId="3" xfId="2" applyFont="1" applyFill="1" applyBorder="1" applyAlignment="1">
      <alignment horizontal="left" vertical="center"/>
    </xf>
    <xf numFmtId="0" fontId="7" fillId="0" borderId="4" xfId="0" applyFont="1" applyFill="1" applyBorder="1" applyAlignment="1">
      <alignment horizontal="left"/>
    </xf>
    <xf numFmtId="0" fontId="10" fillId="0" borderId="4" xfId="0" applyFont="1" applyFill="1" applyBorder="1" applyAlignment="1">
      <alignment horizontal="left"/>
    </xf>
    <xf numFmtId="0" fontId="4" fillId="0" borderId="6" xfId="2" applyFont="1" applyFill="1" applyBorder="1" applyAlignment="1">
      <alignment horizontal="left" vertical="center" wrapText="1"/>
    </xf>
    <xf numFmtId="0" fontId="4" fillId="0" borderId="3" xfId="2" applyFont="1" applyFill="1" applyBorder="1" applyAlignment="1">
      <alignment horizontal="left" vertical="center" wrapText="1"/>
    </xf>
    <xf numFmtId="0" fontId="22" fillId="0" borderId="0" xfId="0" applyFont="1" applyFill="1" applyAlignment="1">
      <alignment horizontal="right" wrapText="1"/>
    </xf>
    <xf numFmtId="0" fontId="4" fillId="7" borderId="16" xfId="2" applyFont="1" applyFill="1" applyBorder="1" applyAlignment="1">
      <alignment horizontal="left" vertical="center" indent="1"/>
    </xf>
    <xf numFmtId="0" fontId="4" fillId="7" borderId="2" xfId="2" applyFont="1" applyFill="1" applyBorder="1" applyAlignment="1">
      <alignment horizontal="left" vertical="center" indent="1"/>
    </xf>
    <xf numFmtId="0" fontId="4" fillId="10" borderId="2" xfId="2" applyFont="1" applyFill="1" applyBorder="1" applyAlignment="1">
      <alignment horizontal="left" vertical="center" indent="1"/>
    </xf>
    <xf numFmtId="0" fontId="4" fillId="0" borderId="6" xfId="2" applyFont="1" applyBorder="1" applyAlignment="1">
      <alignment horizontal="left" vertical="center"/>
    </xf>
    <xf numFmtId="0" fontId="4" fillId="0" borderId="3" xfId="2" applyFont="1" applyBorder="1" applyAlignment="1">
      <alignment horizontal="left" vertical="center"/>
    </xf>
    <xf numFmtId="0" fontId="8" fillId="3" borderId="14" xfId="2" applyFont="1" applyFill="1" applyBorder="1" applyAlignment="1">
      <alignment horizontal="center"/>
    </xf>
    <xf numFmtId="0" fontId="2" fillId="3" borderId="4" xfId="2" applyFont="1" applyFill="1" applyBorder="1" applyAlignment="1">
      <alignment horizontal="center"/>
    </xf>
    <xf numFmtId="0" fontId="2" fillId="3" borderId="9" xfId="2" applyFont="1" applyFill="1" applyBorder="1" applyAlignment="1">
      <alignment horizontal="center"/>
    </xf>
    <xf numFmtId="9" fontId="2" fillId="15" borderId="14" xfId="3" applyFont="1" applyFill="1" applyBorder="1" applyAlignment="1">
      <alignment horizontal="center" vertical="center"/>
    </xf>
    <xf numFmtId="9" fontId="2" fillId="15" borderId="4" xfId="3" applyFont="1" applyFill="1" applyBorder="1" applyAlignment="1">
      <alignment horizontal="center" vertical="center"/>
    </xf>
    <xf numFmtId="9" fontId="2" fillId="15" borderId="9" xfId="3" applyFont="1" applyFill="1" applyBorder="1" applyAlignment="1">
      <alignment horizontal="center" vertical="center"/>
    </xf>
    <xf numFmtId="0" fontId="4" fillId="0" borderId="17" xfId="2" applyFont="1" applyBorder="1" applyAlignment="1">
      <alignment horizontal="left" vertical="center"/>
    </xf>
    <xf numFmtId="0" fontId="4" fillId="0" borderId="18" xfId="2" applyFont="1" applyBorder="1" applyAlignment="1">
      <alignment horizontal="left" vertical="center"/>
    </xf>
    <xf numFmtId="1" fontId="7" fillId="8" borderId="2" xfId="0" applyNumberFormat="1" applyFont="1" applyFill="1" applyBorder="1" applyAlignment="1">
      <alignment horizontal="center" vertical="center"/>
    </xf>
    <xf numFmtId="0" fontId="4" fillId="7" borderId="16" xfId="2" applyFont="1" applyFill="1" applyBorder="1" applyAlignment="1">
      <alignment horizontal="center" vertical="center"/>
    </xf>
    <xf numFmtId="0" fontId="4" fillId="7" borderId="8" xfId="2" applyFont="1" applyFill="1" applyBorder="1" applyAlignment="1">
      <alignment horizontal="center" vertical="center"/>
    </xf>
    <xf numFmtId="0" fontId="2" fillId="3" borderId="20" xfId="2" applyFont="1" applyFill="1" applyBorder="1" applyAlignment="1">
      <alignment horizontal="center"/>
    </xf>
    <xf numFmtId="9" fontId="2" fillId="0" borderId="14" xfId="3" applyFont="1" applyFill="1" applyBorder="1" applyAlignment="1">
      <alignment horizontal="center" vertical="center"/>
    </xf>
    <xf numFmtId="9" fontId="2" fillId="0" borderId="20" xfId="3" applyFont="1" applyFill="1" applyBorder="1" applyAlignment="1">
      <alignment horizontal="center" vertical="center"/>
    </xf>
    <xf numFmtId="0" fontId="5" fillId="0" borderId="17" xfId="2" applyFont="1" applyBorder="1" applyAlignment="1">
      <alignment horizontal="left" vertical="center"/>
    </xf>
    <xf numFmtId="0" fontId="5" fillId="0" borderId="18" xfId="2" applyFont="1" applyBorder="1" applyAlignment="1">
      <alignment horizontal="left" vertical="center"/>
    </xf>
    <xf numFmtId="0" fontId="8" fillId="0" borderId="0" xfId="2" applyFont="1" applyAlignment="1">
      <alignment horizontal="center" vertical="center"/>
    </xf>
    <xf numFmtId="0" fontId="8" fillId="0" borderId="2" xfId="2" applyFont="1" applyBorder="1" applyAlignment="1">
      <alignment horizontal="center" vertical="center"/>
    </xf>
    <xf numFmtId="3" fontId="19" fillId="0" borderId="14" xfId="2" applyNumberFormat="1" applyFont="1" applyBorder="1" applyAlignment="1">
      <alignment horizontal="right" indent="1"/>
    </xf>
    <xf numFmtId="3" fontId="19" fillId="0" borderId="4" xfId="2" applyNumberFormat="1" applyFont="1" applyBorder="1" applyAlignment="1">
      <alignment horizontal="right" indent="1"/>
    </xf>
    <xf numFmtId="3" fontId="19" fillId="0" borderId="9" xfId="2" applyNumberFormat="1" applyFont="1" applyBorder="1" applyAlignment="1">
      <alignment horizontal="right" indent="1"/>
    </xf>
    <xf numFmtId="0" fontId="18" fillId="9" borderId="2" xfId="2" applyFont="1" applyFill="1" applyBorder="1" applyAlignment="1">
      <alignment horizontal="center" vertical="center"/>
    </xf>
    <xf numFmtId="0" fontId="5" fillId="0" borderId="6" xfId="2" applyFont="1" applyBorder="1" applyAlignment="1">
      <alignment horizontal="left" vertical="center"/>
    </xf>
    <xf numFmtId="0" fontId="5" fillId="0" borderId="3" xfId="2" applyFont="1" applyBorder="1" applyAlignment="1">
      <alignment horizontal="left" vertical="center"/>
    </xf>
    <xf numFmtId="0" fontId="23" fillId="3" borderId="2" xfId="2" applyFont="1" applyFill="1" applyBorder="1" applyAlignment="1">
      <alignment horizontal="center" vertical="center"/>
    </xf>
    <xf numFmtId="0" fontId="23" fillId="0" borderId="2" xfId="2" applyFont="1" applyBorder="1" applyAlignment="1">
      <alignment horizontal="center" vertical="center"/>
    </xf>
    <xf numFmtId="0" fontId="23" fillId="0" borderId="8" xfId="2" applyFont="1" applyBorder="1" applyAlignment="1">
      <alignment horizontal="center" vertical="center"/>
    </xf>
    <xf numFmtId="3" fontId="19" fillId="0" borderId="20" xfId="2" applyNumberFormat="1" applyFont="1" applyBorder="1" applyAlignment="1">
      <alignment horizontal="right" indent="1"/>
    </xf>
    <xf numFmtId="0" fontId="7" fillId="13" borderId="0" xfId="0" applyFont="1" applyFill="1" applyAlignment="1">
      <alignment horizontal="center" vertical="center"/>
    </xf>
    <xf numFmtId="0" fontId="7" fillId="17" borderId="0" xfId="0" applyFont="1" applyFill="1" applyAlignment="1">
      <alignment horizontal="center" vertical="center"/>
    </xf>
    <xf numFmtId="0" fontId="27" fillId="4" borderId="0" xfId="5" applyFont="1" applyFill="1" applyAlignment="1">
      <alignment horizontal="left" vertical="center" indent="1"/>
    </xf>
    <xf numFmtId="0" fontId="29" fillId="0" borderId="21" xfId="2" applyFont="1" applyBorder="1" applyAlignment="1">
      <alignment horizontal="center"/>
    </xf>
    <xf numFmtId="0" fontId="2" fillId="0" borderId="19" xfId="2" applyFont="1" applyBorder="1" applyAlignment="1">
      <alignment horizontal="left" vertical="center" indent="1"/>
    </xf>
    <xf numFmtId="0" fontId="2" fillId="0" borderId="0" xfId="2" applyFont="1" applyBorder="1" applyAlignment="1">
      <alignment horizontal="left" vertical="center" indent="1"/>
    </xf>
    <xf numFmtId="9" fontId="24" fillId="0" borderId="1" xfId="3" applyFont="1" applyBorder="1" applyAlignment="1">
      <alignment horizontal="center" vertical="center"/>
    </xf>
    <xf numFmtId="0" fontId="2" fillId="0" borderId="24" xfId="2" applyFont="1" applyBorder="1" applyAlignment="1">
      <alignment horizontal="left" vertical="center" indent="1"/>
    </xf>
    <xf numFmtId="0" fontId="29" fillId="0" borderId="0" xfId="2" applyFont="1" applyAlignment="1">
      <alignment horizontal="center"/>
    </xf>
    <xf numFmtId="0" fontId="28" fillId="4" borderId="0" xfId="5" applyFont="1" applyFill="1" applyAlignment="1">
      <alignment horizontal="right" vertical="center" indent="1"/>
    </xf>
    <xf numFmtId="0" fontId="29" fillId="0" borderId="0" xfId="2" applyFont="1" applyBorder="1" applyAlignment="1">
      <alignment horizontal="center"/>
    </xf>
    <xf numFmtId="0" fontId="4" fillId="4" borderId="2" xfId="2" applyFont="1" applyFill="1" applyBorder="1" applyAlignment="1">
      <alignment horizontal="center"/>
    </xf>
    <xf numFmtId="0" fontId="4" fillId="3" borderId="2" xfId="2" applyFont="1" applyFill="1" applyBorder="1" applyAlignment="1">
      <alignment horizontal="left" indent="1"/>
    </xf>
    <xf numFmtId="164" fontId="16" fillId="0" borderId="6" xfId="2" applyNumberFormat="1" applyFont="1" applyBorder="1" applyAlignment="1">
      <alignment horizontal="right" vertical="center"/>
    </xf>
    <xf numFmtId="164" fontId="16" fillId="0" borderId="3" xfId="2" applyNumberFormat="1" applyFont="1" applyBorder="1" applyAlignment="1">
      <alignment horizontal="right" vertical="center"/>
    </xf>
    <xf numFmtId="0" fontId="4" fillId="4" borderId="23" xfId="2" applyFont="1" applyFill="1" applyBorder="1" applyAlignment="1">
      <alignment horizontal="center"/>
    </xf>
    <xf numFmtId="0" fontId="4" fillId="4" borderId="3" xfId="2" applyFont="1" applyFill="1" applyBorder="1" applyAlignment="1">
      <alignment horizontal="center"/>
    </xf>
    <xf numFmtId="0" fontId="4" fillId="0" borderId="6" xfId="2" applyFont="1" applyBorder="1" applyAlignment="1">
      <alignment vertical="center"/>
    </xf>
    <xf numFmtId="0" fontId="4" fillId="0" borderId="3" xfId="2" applyFont="1" applyBorder="1" applyAlignment="1">
      <alignment vertical="center"/>
    </xf>
    <xf numFmtId="0" fontId="4" fillId="3" borderId="18" xfId="2" applyFont="1" applyFill="1" applyBorder="1" applyAlignment="1">
      <alignment horizontal="left" indent="1"/>
    </xf>
    <xf numFmtId="0" fontId="4" fillId="5" borderId="2" xfId="2" applyFont="1" applyFill="1" applyBorder="1" applyAlignment="1">
      <alignment horizontal="left" indent="1"/>
    </xf>
    <xf numFmtId="164" fontId="4" fillId="0" borderId="5" xfId="2" applyNumberFormat="1" applyFont="1" applyBorder="1" applyAlignment="1">
      <alignment horizontal="right" vertical="center"/>
    </xf>
    <xf numFmtId="164" fontId="20" fillId="0" borderId="6" xfId="2" applyNumberFormat="1" applyFont="1" applyBorder="1" applyAlignment="1">
      <alignment horizontal="center" vertical="center"/>
    </xf>
    <xf numFmtId="164" fontId="20" fillId="0" borderId="3" xfId="2" applyNumberFormat="1" applyFont="1" applyBorder="1" applyAlignment="1">
      <alignment horizontal="center" vertical="center"/>
    </xf>
    <xf numFmtId="0" fontId="4" fillId="0" borderId="5" xfId="2" applyFont="1" applyBorder="1" applyAlignment="1">
      <alignment horizontal="left" vertical="center"/>
    </xf>
    <xf numFmtId="0" fontId="8" fillId="0" borderId="6" xfId="2" applyFont="1" applyBorder="1" applyAlignment="1">
      <alignment vertical="center"/>
    </xf>
    <xf numFmtId="0" fontId="8" fillId="0" borderId="3" xfId="2" applyFont="1" applyBorder="1" applyAlignment="1">
      <alignment vertical="center"/>
    </xf>
    <xf numFmtId="164" fontId="5" fillId="0" borderId="6" xfId="2" applyNumberFormat="1" applyFont="1" applyBorder="1" applyAlignment="1">
      <alignment horizontal="left" vertical="center"/>
    </xf>
    <xf numFmtId="164" fontId="5" fillId="0" borderId="3" xfId="2" applyNumberFormat="1" applyFont="1" applyBorder="1" applyAlignment="1">
      <alignment horizontal="left" vertical="center"/>
    </xf>
    <xf numFmtId="0" fontId="4" fillId="0" borderId="6" xfId="2" applyFont="1" applyBorder="1" applyAlignment="1">
      <alignment horizontal="center" vertical="center"/>
    </xf>
    <xf numFmtId="0" fontId="4" fillId="0" borderId="3" xfId="2" applyFont="1" applyBorder="1" applyAlignment="1">
      <alignment horizontal="center" vertical="center"/>
    </xf>
  </cellXfs>
  <cellStyles count="7">
    <cellStyle name="Bad" xfId="1" builtinId="27" customBuiltin="1"/>
    <cellStyle name="Hyperlink" xfId="6" builtinId="8"/>
    <cellStyle name="Normal" xfId="0" builtinId="0"/>
    <cellStyle name="Normal 2" xfId="2" xr:uid="{00000000-0005-0000-0000-000002000000}"/>
    <cellStyle name="Normal 3" xfId="5" xr:uid="{70BBACE1-6506-4095-98A1-062A685F40C3}"/>
    <cellStyle name="Percent" xfId="3" builtinId="5"/>
    <cellStyle name="Percent 2" xfId="4" xr:uid="{6C20889E-288C-46CC-ABFA-A00FABD12573}"/>
  </cellStyles>
  <dxfs count="29">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rgb="FF333333"/>
        <name val="Arial"/>
        <family val="2"/>
        <scheme val="none"/>
      </font>
      <numFmt numFmtId="164" formatCode="#,##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333333"/>
        <name val="Arial"/>
        <family val="2"/>
        <scheme val="none"/>
      </font>
      <numFmt numFmtId="164" formatCode="#,##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333333"/>
        <name val="Arial"/>
        <family val="2"/>
        <scheme val="none"/>
      </font>
      <numFmt numFmtId="164" formatCode="#,##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333333"/>
        <name val="Arial"/>
        <family val="2"/>
        <scheme val="none"/>
      </font>
      <numFmt numFmtId="164" formatCode="#,##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333333"/>
        <name val="Arial"/>
        <family val="2"/>
        <scheme val="none"/>
      </font>
      <numFmt numFmtId="164" formatCode="#,##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333333"/>
        <name val="Arial"/>
        <family val="2"/>
        <scheme val="none"/>
      </font>
      <numFmt numFmtId="164" formatCode="#,##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333333"/>
        <name val="Arial"/>
        <family val="2"/>
        <scheme val="none"/>
      </font>
      <numFmt numFmtId="164" formatCode="#,##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333333"/>
        <name val="Arial"/>
        <family val="2"/>
        <scheme val="none"/>
      </font>
      <numFmt numFmtId="164" formatCode="#,##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333333"/>
        <name val="Arial"/>
        <family val="2"/>
        <scheme val="none"/>
      </font>
      <numFmt numFmtId="164" formatCode="#,##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333333"/>
        <name val="Arial"/>
        <family val="2"/>
        <scheme val="none"/>
      </font>
      <numFmt numFmtId="164" formatCode="#,##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333333"/>
        <name val="Arial"/>
        <family val="2"/>
        <scheme val="none"/>
      </font>
      <numFmt numFmtId="164" formatCode="#,##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333333"/>
        <name val="Arial"/>
        <family val="2"/>
        <scheme val="none"/>
      </font>
      <numFmt numFmtId="164" formatCode="#,##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333333"/>
        <name val="Arial"/>
        <family val="2"/>
        <scheme val="none"/>
      </font>
      <numFmt numFmtId="164" formatCode="#,##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333333"/>
        <name val="Arial"/>
        <family val="2"/>
        <scheme val="none"/>
      </font>
      <numFmt numFmtId="164" formatCode="#,##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333333"/>
        <name val="Arial"/>
        <family val="2"/>
        <scheme val="none"/>
      </font>
      <numFmt numFmtId="164" formatCode="#,##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dxf>
  </dxfs>
  <tableStyles count="0" defaultTableStyle="TableStyleMedium2" defaultPivotStyle="PivotStyleLight16"/>
  <colors>
    <mruColors>
      <color rgb="FFCC99FF"/>
      <color rgb="FFCCECFF"/>
      <color rgb="FFFFFFCC"/>
      <color rgb="FFFFCCFF"/>
      <color rgb="FFFF66FF"/>
      <color rgb="FF21C5FF"/>
      <color rgb="FF66FF33"/>
      <color rgb="FFCC66FF"/>
      <color rgb="FF0099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100" b="1">
                <a:solidFill>
                  <a:schemeClr val="tx1"/>
                </a:solidFill>
                <a:latin typeface="Arial" panose="020B0604020202020204" pitchFamily="34" charset="0"/>
                <a:cs typeface="Arial" panose="020B0604020202020204" pitchFamily="34" charset="0"/>
              </a:rPr>
              <a:t>WTE Consultant Radiologists</a:t>
            </a:r>
            <a:endParaRPr lang="en-GB" b="1">
              <a:solidFill>
                <a:schemeClr val="tx1"/>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'Radiologists &amp; Reporting Radiog'!$A$63</c:f>
              <c:strCache>
                <c:ptCount val="1"/>
                <c:pt idx="0">
                  <c:v>Activity Performed (Actual Exam Requests)</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strRef>
              <c:f>'Radiologists &amp; Reporting Radiog'!$B$62:$P$62</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'Radiologists &amp; Reporting Radiog'!$B$63:$P$63</c:f>
              <c:numCache>
                <c:formatCode>#,##0.0</c:formatCode>
                <c:ptCount val="15"/>
                <c:pt idx="0">
                  <c:v>550.89598817708327</c:v>
                </c:pt>
                <c:pt idx="1">
                  <c:v>564.36231343749978</c:v>
                </c:pt>
                <c:pt idx="2">
                  <c:v>573.58493829166662</c:v>
                </c:pt>
                <c:pt idx="3">
                  <c:v>487.86230569791667</c:v>
                </c:pt>
                <c:pt idx="4">
                  <c:v>537.35383102083335</c:v>
                </c:pt>
              </c:numCache>
            </c:numRef>
          </c:val>
          <c:smooth val="0"/>
          <c:extLst>
            <c:ext xmlns:c16="http://schemas.microsoft.com/office/drawing/2014/chart" uri="{C3380CC4-5D6E-409C-BE32-E72D297353CC}">
              <c16:uniqueId val="{00000002-03A8-4A6F-B06D-E356B7E51053}"/>
            </c:ext>
          </c:extLst>
        </c:ser>
        <c:ser>
          <c:idx val="3"/>
          <c:order val="1"/>
          <c:tx>
            <c:strRef>
              <c:f>'Radiologists &amp; Reporting Radiog'!$A$64</c:f>
              <c:strCache>
                <c:ptCount val="1"/>
                <c:pt idx="0">
                  <c:v>Lower Projected Demand (No COVID adjustment)</c:v>
                </c:pt>
              </c:strCache>
            </c:strRef>
          </c:tx>
          <c:spPr>
            <a:ln w="28575" cap="rnd">
              <a:solidFill>
                <a:srgbClr val="66FF33"/>
              </a:solidFill>
              <a:round/>
            </a:ln>
            <a:effectLst/>
          </c:spPr>
          <c:marker>
            <c:symbol val="circle"/>
            <c:size val="5"/>
            <c:spPr>
              <a:solidFill>
                <a:srgbClr val="66FF33"/>
              </a:solidFill>
              <a:ln w="9525">
                <a:solidFill>
                  <a:srgbClr val="66FF3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'Radiologists &amp; Reporting Radiog'!$B$62:$P$62</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'Radiologists &amp; Reporting Radiog'!$B$64:$P$64</c:f>
              <c:numCache>
                <c:formatCode>#,##0.0</c:formatCode>
                <c:ptCount val="15"/>
                <c:pt idx="4">
                  <c:v>537.35383102083335</c:v>
                </c:pt>
                <c:pt idx="5">
                  <c:v>562.81251849770831</c:v>
                </c:pt>
                <c:pt idx="6">
                  <c:v>589.95585114935216</c:v>
                </c:pt>
                <c:pt idx="7">
                  <c:v>618.89987455826224</c:v>
                </c:pt>
                <c:pt idx="8">
                  <c:v>649.76869789202897</c:v>
                </c:pt>
                <c:pt idx="9">
                  <c:v>682.69505584912679</c:v>
                </c:pt>
                <c:pt idx="10">
                  <c:v>717.82090982289253</c:v>
                </c:pt>
                <c:pt idx="11">
                  <c:v>755.29809102306945</c:v>
                </c:pt>
                <c:pt idx="12">
                  <c:v>795.28898848574136</c:v>
                </c:pt>
                <c:pt idx="13">
                  <c:v>837.96728510732146</c:v>
                </c:pt>
                <c:pt idx="14">
                  <c:v>883.51874505740966</c:v>
                </c:pt>
              </c:numCache>
            </c:numRef>
          </c:val>
          <c:smooth val="0"/>
          <c:extLst>
            <c:ext xmlns:c16="http://schemas.microsoft.com/office/drawing/2014/chart" uri="{C3380CC4-5D6E-409C-BE32-E72D297353CC}">
              <c16:uniqueId val="{00000003-03A8-4A6F-B06D-E356B7E51053}"/>
            </c:ext>
          </c:extLst>
        </c:ser>
        <c:ser>
          <c:idx val="4"/>
          <c:order val="2"/>
          <c:tx>
            <c:strRef>
              <c:f>'Radiologists &amp; Reporting Radiog'!$A$65</c:f>
              <c:strCache>
                <c:ptCount val="1"/>
                <c:pt idx="0">
                  <c:v>Upper Projected Demand (No COVID adjustment)</c:v>
                </c:pt>
              </c:strCache>
            </c:strRef>
          </c:tx>
          <c:spPr>
            <a:ln w="28575" cap="rnd">
              <a:solidFill>
                <a:srgbClr val="66FF33"/>
              </a:solidFill>
              <a:round/>
            </a:ln>
            <a:effectLst/>
          </c:spPr>
          <c:marker>
            <c:symbol val="circle"/>
            <c:size val="5"/>
            <c:spPr>
              <a:solidFill>
                <a:srgbClr val="66FF33"/>
              </a:solidFill>
              <a:ln w="9525">
                <a:solidFill>
                  <a:srgbClr val="66FF33"/>
                </a:solidFill>
              </a:ln>
              <a:effectLst/>
            </c:spPr>
          </c:marker>
          <c:cat>
            <c:strRef>
              <c:f>'Radiologists &amp; Reporting Radiog'!$B$62:$P$62</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'Radiologists &amp; Reporting Radiog'!$B$65:$P$65</c:f>
              <c:numCache>
                <c:formatCode>#,##0.0</c:formatCode>
                <c:ptCount val="15"/>
                <c:pt idx="4">
                  <c:v>537.35383102083335</c:v>
                </c:pt>
                <c:pt idx="5">
                  <c:v>571.67527766437502</c:v>
                </c:pt>
                <c:pt idx="6">
                  <c:v>609.15273889935213</c:v>
                </c:pt>
                <c:pt idx="7">
                  <c:v>650.08939599792893</c:v>
                </c:pt>
                <c:pt idx="8">
                  <c:v>694.81805843262907</c:v>
                </c:pt>
                <c:pt idx="9">
                  <c:v>743.70409751973386</c:v>
                </c:pt>
                <c:pt idx="10">
                  <c:v>797.14867399513764</c:v>
                </c:pt>
                <c:pt idx="11">
                  <c:v>855.59228929698952</c:v>
                </c:pt>
                <c:pt idx="12">
                  <c:v>919.51869337623634</c:v>
                </c:pt>
                <c:pt idx="13">
                  <c:v>989.45918521766782</c:v>
                </c:pt>
                <c:pt idx="14">
                  <c:v>1065.9973459630378</c:v>
                </c:pt>
              </c:numCache>
            </c:numRef>
          </c:val>
          <c:smooth val="0"/>
          <c:extLst>
            <c:ext xmlns:c16="http://schemas.microsoft.com/office/drawing/2014/chart" uri="{C3380CC4-5D6E-409C-BE32-E72D297353CC}">
              <c16:uniqueId val="{00000004-03A8-4A6F-B06D-E356B7E51053}"/>
            </c:ext>
          </c:extLst>
        </c:ser>
        <c:ser>
          <c:idx val="0"/>
          <c:order val="3"/>
          <c:tx>
            <c:strRef>
              <c:f>'Radiologists &amp; Reporting Radiog'!$A$66</c:f>
              <c:strCache>
                <c:ptCount val="1"/>
                <c:pt idx="0">
                  <c:v>Lower Projected Demand (COVID-adjusted)</c:v>
                </c:pt>
              </c:strCache>
            </c:strRef>
          </c:tx>
          <c:spPr>
            <a:ln w="28575" cap="rnd">
              <a:solidFill>
                <a:srgbClr val="FF66FF"/>
              </a:solidFill>
              <a:round/>
            </a:ln>
            <a:effectLst/>
          </c:spPr>
          <c:marker>
            <c:symbol val="circle"/>
            <c:size val="5"/>
            <c:spPr>
              <a:solidFill>
                <a:srgbClr val="FF66FF"/>
              </a:solidFill>
              <a:ln w="9525">
                <a:solidFill>
                  <a:srgbClr val="FF66FF"/>
                </a:solidFill>
              </a:ln>
              <a:effectLst/>
            </c:spPr>
          </c:marker>
          <c:cat>
            <c:strRef>
              <c:f>'Radiologists &amp; Reporting Radiog'!$B$62:$P$62</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'Radiologists &amp; Reporting Radiog'!$B$66:$P$66</c:f>
              <c:numCache>
                <c:formatCode>#,##0.0</c:formatCode>
                <c:ptCount val="15"/>
                <c:pt idx="2">
                  <c:v>581.57703608333327</c:v>
                </c:pt>
                <c:pt idx="3">
                  <c:v>608.92015699972228</c:v>
                </c:pt>
                <c:pt idx="4">
                  <c:v>638.0626696086083</c:v>
                </c:pt>
                <c:pt idx="5">
                  <c:v>669.12825056241661</c:v>
                </c:pt>
                <c:pt idx="6">
                  <c:v>702.24915943148142</c:v>
                </c:pt>
                <c:pt idx="7">
                  <c:v>737.56683632260808</c:v>
                </c:pt>
                <c:pt idx="8">
                  <c:v>775.23254117889269</c:v>
                </c:pt>
                <c:pt idx="9">
                  <c:v>815.40803767080683</c:v>
                </c:pt>
                <c:pt idx="10">
                  <c:v>858.26632479185059</c:v>
                </c:pt>
                <c:pt idx="11">
                  <c:v>903.99241948958661</c:v>
                </c:pt>
                <c:pt idx="12">
                  <c:v>952.78419389556677</c:v>
                </c:pt>
                <c:pt idx="13">
                  <c:v>1005.3811847108608</c:v>
                </c:pt>
                <c:pt idx="14">
                  <c:v>1064.8255711853972</c:v>
                </c:pt>
              </c:numCache>
            </c:numRef>
          </c:val>
          <c:smooth val="0"/>
          <c:extLst>
            <c:ext xmlns:c16="http://schemas.microsoft.com/office/drawing/2014/chart" uri="{C3380CC4-5D6E-409C-BE32-E72D297353CC}">
              <c16:uniqueId val="{00000000-03A8-4A6F-B06D-E356B7E51053}"/>
            </c:ext>
          </c:extLst>
        </c:ser>
        <c:ser>
          <c:idx val="5"/>
          <c:order val="4"/>
          <c:tx>
            <c:strRef>
              <c:f>'Radiologists &amp; Reporting Radiog'!$A$67</c:f>
              <c:strCache>
                <c:ptCount val="1"/>
                <c:pt idx="0">
                  <c:v>Upper Projected Demand (COVID-adjusted)</c:v>
                </c:pt>
              </c:strCache>
            </c:strRef>
          </c:tx>
          <c:spPr>
            <a:ln w="28575" cap="rnd">
              <a:solidFill>
                <a:srgbClr val="FF66FF"/>
              </a:solidFill>
              <a:round/>
            </a:ln>
            <a:effectLst/>
          </c:spPr>
          <c:marker>
            <c:symbol val="circle"/>
            <c:size val="5"/>
            <c:spPr>
              <a:solidFill>
                <a:srgbClr val="FF66FF"/>
              </a:solidFill>
              <a:ln w="9525">
                <a:solidFill>
                  <a:srgbClr val="FF66FF"/>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'Radiologists &amp; Reporting Radiog'!$B$62:$P$62</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'Radiologists &amp; Reporting Radiog'!$B$67:$P$67</c:f>
              <c:numCache>
                <c:formatCode>#,##0.0</c:formatCode>
                <c:ptCount val="15"/>
                <c:pt idx="2">
                  <c:v>581.57703608333327</c:v>
                </c:pt>
                <c:pt idx="3">
                  <c:v>618.74750366638887</c:v>
                </c:pt>
                <c:pt idx="4">
                  <c:v>659.35771267527502</c:v>
                </c:pt>
                <c:pt idx="5">
                  <c:v>703.74141433008333</c:v>
                </c:pt>
                <c:pt idx="6">
                  <c:v>752.26534419794802</c:v>
                </c:pt>
                <c:pt idx="7">
                  <c:v>805.33252677905693</c:v>
                </c:pt>
                <c:pt idx="8">
                  <c:v>863.38591512206074</c:v>
                </c:pt>
                <c:pt idx="9">
                  <c:v>926.91239979825286</c:v>
                </c:pt>
                <c:pt idx="10">
                  <c:v>996.44722511530358</c:v>
                </c:pt>
                <c:pt idx="11">
                  <c:v>1072.5788543733042</c:v>
                </c:pt>
                <c:pt idx="12">
                  <c:v>1155.9543302973761</c:v>
                </c:pt>
                <c:pt idx="13">
                  <c:v>1247.8130953094151</c:v>
                </c:pt>
                <c:pt idx="14">
                  <c:v>1351.7535202010429</c:v>
                </c:pt>
              </c:numCache>
            </c:numRef>
          </c:val>
          <c:smooth val="0"/>
          <c:extLst>
            <c:ext xmlns:c16="http://schemas.microsoft.com/office/drawing/2014/chart" uri="{C3380CC4-5D6E-409C-BE32-E72D297353CC}">
              <c16:uniqueId val="{00000005-03A8-4A6F-B06D-E356B7E51053}"/>
            </c:ext>
          </c:extLst>
        </c:ser>
        <c:ser>
          <c:idx val="1"/>
          <c:order val="5"/>
          <c:tx>
            <c:strRef>
              <c:f>'Radiologists &amp; Reporting Radiog'!$A$68</c:f>
              <c:strCache>
                <c:ptCount val="1"/>
                <c:pt idx="0">
                  <c:v>Median Projected Demand</c:v>
                </c:pt>
              </c:strCache>
            </c:strRef>
          </c:tx>
          <c:spPr>
            <a:ln w="28575" cap="sq">
              <a:solidFill>
                <a:schemeClr val="tx1"/>
              </a:solidFill>
              <a:prstDash val="sysDot"/>
              <a:round/>
            </a:ln>
            <a:effectLst/>
          </c:spPr>
          <c:marker>
            <c:symbol val="none"/>
          </c:marker>
          <c:dLbls>
            <c:dLbl>
              <c:idx val="5"/>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88-473D-AA8D-41FE37FCAC82}"/>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A88-473D-AA8D-41FE37FCAC8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'Radiologists &amp; Reporting Radiog'!$B$62:$P$62</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'Radiologists &amp; Reporting Radiog'!$B$68:$P$68</c:f>
              <c:numCache>
                <c:formatCode>#,##0.0</c:formatCode>
                <c:ptCount val="15"/>
                <c:pt idx="5">
                  <c:v>633.27696641389582</c:v>
                </c:pt>
                <c:pt idx="6">
                  <c:v>671.11059767365009</c:v>
                </c:pt>
                <c:pt idx="7">
                  <c:v>712.11620066865953</c:v>
                </c:pt>
                <c:pt idx="8">
                  <c:v>756.5773065070448</c:v>
                </c:pt>
                <c:pt idx="9">
                  <c:v>804.80372782368977</c:v>
                </c:pt>
                <c:pt idx="10">
                  <c:v>857.134067469098</c:v>
                </c:pt>
                <c:pt idx="11">
                  <c:v>913.93847269818684</c:v>
                </c:pt>
                <c:pt idx="12">
                  <c:v>975.62165939155875</c:v>
                </c:pt>
                <c:pt idx="13">
                  <c:v>1042.8901902083683</c:v>
                </c:pt>
                <c:pt idx="14">
                  <c:v>1117.6361326292263</c:v>
                </c:pt>
              </c:numCache>
            </c:numRef>
          </c:val>
          <c:smooth val="0"/>
          <c:extLst>
            <c:ext xmlns:c16="http://schemas.microsoft.com/office/drawing/2014/chart" uri="{C3380CC4-5D6E-409C-BE32-E72D297353CC}">
              <c16:uniqueId val="{00000001-03A8-4A6F-B06D-E356B7E51053}"/>
            </c:ext>
          </c:extLst>
        </c:ser>
        <c:ser>
          <c:idx val="6"/>
          <c:order val="6"/>
          <c:tx>
            <c:strRef>
              <c:f>'Radiologists &amp; Reporting Radiog'!$A$69</c:f>
              <c:strCache>
                <c:ptCount val="1"/>
                <c:pt idx="0">
                  <c:v>WTE Establishment (Consultants)</c:v>
                </c:pt>
              </c:strCache>
            </c:strRef>
          </c:tx>
          <c:spPr>
            <a:ln w="28575" cap="rnd">
              <a:solidFill>
                <a:srgbClr val="0070C0"/>
              </a:solidFill>
              <a:round/>
            </a:ln>
            <a:effectLst/>
          </c:spPr>
          <c:marker>
            <c:symbol val="diamond"/>
            <c:size val="8"/>
            <c:spPr>
              <a:solidFill>
                <a:srgbClr val="0070C0"/>
              </a:solidFill>
              <a:ln w="9525">
                <a:solidFill>
                  <a:srgbClr val="0070C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'Radiologists &amp; Reporting Radiog'!$B$62:$P$62</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'Radiologists &amp; Reporting Radiog'!$B$69:$P$69</c:f>
              <c:numCache>
                <c:formatCode>#,##0.0</c:formatCode>
                <c:ptCount val="15"/>
                <c:pt idx="0">
                  <c:v>374.09700000000004</c:v>
                </c:pt>
                <c:pt idx="1">
                  <c:v>364.16200000000003</c:v>
                </c:pt>
                <c:pt idx="2">
                  <c:v>366.1</c:v>
                </c:pt>
                <c:pt idx="3">
                  <c:v>367.73699999999997</c:v>
                </c:pt>
                <c:pt idx="4">
                  <c:v>380.56099999999998</c:v>
                </c:pt>
                <c:pt idx="5">
                  <c:v>#N/A</c:v>
                </c:pt>
                <c:pt idx="6">
                  <c:v>#N/A</c:v>
                </c:pt>
                <c:pt idx="7">
                  <c:v>#N/A</c:v>
                </c:pt>
                <c:pt idx="8">
                  <c:v>#N/A</c:v>
                </c:pt>
                <c:pt idx="9">
                  <c:v>#N/A</c:v>
                </c:pt>
                <c:pt idx="10">
                  <c:v>#N/A</c:v>
                </c:pt>
                <c:pt idx="11">
                  <c:v>#N/A</c:v>
                </c:pt>
                <c:pt idx="12">
                  <c:v>#N/A</c:v>
                </c:pt>
                <c:pt idx="13">
                  <c:v>#N/A</c:v>
                </c:pt>
                <c:pt idx="14">
                  <c:v>#N/A</c:v>
                </c:pt>
              </c:numCache>
            </c:numRef>
          </c:val>
          <c:smooth val="0"/>
          <c:extLst>
            <c:ext xmlns:c16="http://schemas.microsoft.com/office/drawing/2014/chart" uri="{C3380CC4-5D6E-409C-BE32-E72D297353CC}">
              <c16:uniqueId val="{00000006-03A8-4A6F-B06D-E356B7E51053}"/>
            </c:ext>
          </c:extLst>
        </c:ser>
        <c:ser>
          <c:idx val="7"/>
          <c:order val="7"/>
          <c:tx>
            <c:strRef>
              <c:f>'Radiologists &amp; Reporting Radiog'!$A$70</c:f>
              <c:strCache>
                <c:ptCount val="1"/>
                <c:pt idx="0">
                  <c:v>WTE Staff In Post (Consultants)</c:v>
                </c:pt>
              </c:strCache>
            </c:strRef>
          </c:tx>
          <c:spPr>
            <a:ln w="28575" cap="rnd">
              <a:solidFill>
                <a:srgbClr val="00B0F0"/>
              </a:solidFill>
              <a:round/>
            </a:ln>
            <a:effectLst/>
          </c:spPr>
          <c:marker>
            <c:symbol val="triangle"/>
            <c:size val="8"/>
            <c:spPr>
              <a:solidFill>
                <a:srgbClr val="00B0F0"/>
              </a:solidFill>
              <a:ln w="9525">
                <a:solidFill>
                  <a:srgbClr val="00B0F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'Radiologists &amp; Reporting Radiog'!$B$62:$P$62</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'Radiologists &amp; Reporting Radiog'!$B$70:$P$70</c:f>
              <c:numCache>
                <c:formatCode>#,##0.0</c:formatCode>
                <c:ptCount val="15"/>
                <c:pt idx="0">
                  <c:v>314.64699999999999</c:v>
                </c:pt>
                <c:pt idx="1">
                  <c:v>320.96199999999999</c:v>
                </c:pt>
                <c:pt idx="2">
                  <c:v>329.4</c:v>
                </c:pt>
                <c:pt idx="3">
                  <c:v>342.03700000000003</c:v>
                </c:pt>
                <c:pt idx="4">
                  <c:v>358.45100000000002</c:v>
                </c:pt>
                <c:pt idx="5">
                  <c:v>#N/A</c:v>
                </c:pt>
                <c:pt idx="6">
                  <c:v>#N/A</c:v>
                </c:pt>
                <c:pt idx="7">
                  <c:v>#N/A</c:v>
                </c:pt>
                <c:pt idx="8">
                  <c:v>#N/A</c:v>
                </c:pt>
                <c:pt idx="9">
                  <c:v>#N/A</c:v>
                </c:pt>
                <c:pt idx="10">
                  <c:v>#N/A</c:v>
                </c:pt>
                <c:pt idx="11">
                  <c:v>#N/A</c:v>
                </c:pt>
                <c:pt idx="12">
                  <c:v>#N/A</c:v>
                </c:pt>
                <c:pt idx="13">
                  <c:v>#N/A</c:v>
                </c:pt>
                <c:pt idx="14">
                  <c:v>#N/A</c:v>
                </c:pt>
              </c:numCache>
            </c:numRef>
          </c:val>
          <c:smooth val="0"/>
          <c:extLst xmlns:c15="http://schemas.microsoft.com/office/drawing/2012/chart">
            <c:ext xmlns:c16="http://schemas.microsoft.com/office/drawing/2014/chart" uri="{C3380CC4-5D6E-409C-BE32-E72D297353CC}">
              <c16:uniqueId val="{00000007-03A8-4A6F-B06D-E356B7E51053}"/>
            </c:ext>
          </c:extLst>
        </c:ser>
        <c:ser>
          <c:idx val="8"/>
          <c:order val="8"/>
          <c:tx>
            <c:strRef>
              <c:f>'Radiologists &amp; Reporting Radiog'!$A$71</c:f>
              <c:strCache>
                <c:ptCount val="1"/>
                <c:pt idx="0">
                  <c:v>WTE Staff Employment Forecast (Consultants)</c:v>
                </c:pt>
              </c:strCache>
            </c:strRef>
          </c:tx>
          <c:spPr>
            <a:ln w="28575" cap="sq">
              <a:solidFill>
                <a:srgbClr val="00B0F0"/>
              </a:solidFill>
              <a:prstDash val="sysDot"/>
              <a:round/>
            </a:ln>
            <a:effectLst/>
          </c:spPr>
          <c:marker>
            <c:symbol val="triangle"/>
            <c:size val="8"/>
            <c:spPr>
              <a:solidFill>
                <a:srgbClr val="00B0F0"/>
              </a:solidFill>
              <a:ln w="9525">
                <a:solidFill>
                  <a:srgbClr val="00B0F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'Radiologists &amp; Reporting Radiog'!$B$62:$P$62</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'Radiologists &amp; Reporting Radiog'!$B$71:$P$71</c:f>
              <c:numCache>
                <c:formatCode>#,##0.0</c:formatCode>
                <c:ptCount val="15"/>
                <c:pt idx="0">
                  <c:v>#N/A</c:v>
                </c:pt>
                <c:pt idx="1">
                  <c:v>#N/A</c:v>
                </c:pt>
                <c:pt idx="2">
                  <c:v>#N/A</c:v>
                </c:pt>
                <c:pt idx="3">
                  <c:v>#N/A</c:v>
                </c:pt>
                <c:pt idx="4">
                  <c:v>358.45100000000002</c:v>
                </c:pt>
                <c:pt idx="5">
                  <c:v>367.94215503347209</c:v>
                </c:pt>
                <c:pt idx="6">
                  <c:v>380.58734321579379</c:v>
                </c:pt>
                <c:pt idx="7">
                  <c:v>391.58632109882342</c:v>
                </c:pt>
                <c:pt idx="8">
                  <c:v>408.39595503291508</c:v>
                </c:pt>
                <c:pt idx="9">
                  <c:v>426.21851356094669</c:v>
                </c:pt>
                <c:pt idx="10">
                  <c:v>443.97755118699263</c:v>
                </c:pt>
                <c:pt idx="11">
                  <c:v>460.04233627941738</c:v>
                </c:pt>
                <c:pt idx="12">
                  <c:v>475.14937596954621</c:v>
                </c:pt>
                <c:pt idx="13">
                  <c:v>489.01159214389241</c:v>
                </c:pt>
                <c:pt idx="14">
                  <c:v>#N/A</c:v>
                </c:pt>
              </c:numCache>
            </c:numRef>
          </c:val>
          <c:smooth val="0"/>
          <c:extLst xmlns:c15="http://schemas.microsoft.com/office/drawing/2012/chart">
            <c:ext xmlns:c16="http://schemas.microsoft.com/office/drawing/2014/chart" uri="{C3380CC4-5D6E-409C-BE32-E72D297353CC}">
              <c16:uniqueId val="{00000008-03A8-4A6F-B06D-E356B7E51053}"/>
            </c:ext>
          </c:extLst>
        </c:ser>
        <c:dLbls>
          <c:showLegendKey val="0"/>
          <c:showVal val="0"/>
          <c:showCatName val="0"/>
          <c:showSerName val="0"/>
          <c:showPercent val="0"/>
          <c:showBubbleSize val="0"/>
        </c:dLbls>
        <c:marker val="1"/>
        <c:smooth val="0"/>
        <c:axId val="752382624"/>
        <c:axId val="752383040"/>
        <c:extLst/>
      </c:lineChart>
      <c:catAx>
        <c:axId val="7523826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52383040"/>
        <c:crosses val="autoZero"/>
        <c:auto val="1"/>
        <c:lblAlgn val="ctr"/>
        <c:lblOffset val="100"/>
        <c:noMultiLvlLbl val="0"/>
      </c:catAx>
      <c:valAx>
        <c:axId val="75238304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52382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100" b="1">
                <a:solidFill>
                  <a:schemeClr val="tx1"/>
                </a:solidFill>
                <a:latin typeface="Arial" panose="020B0604020202020204" pitchFamily="34" charset="0"/>
                <a:cs typeface="Arial" panose="020B0604020202020204" pitchFamily="34" charset="0"/>
              </a:rPr>
              <a:t>WTE Reporting Radiographers</a:t>
            </a:r>
            <a:endParaRPr lang="en-GB" b="1">
              <a:solidFill>
                <a:schemeClr val="tx1"/>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'Radiologists &amp; Reporting Radiog'!$A$74</c:f>
              <c:strCache>
                <c:ptCount val="1"/>
                <c:pt idx="0">
                  <c:v>Activity Performed (Actual Exam Requests)</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5-3A87-4248-AEAD-1851B77E1FE4}"/>
                </c:ext>
              </c:extLst>
            </c:dLbl>
            <c:dLbl>
              <c:idx val="1"/>
              <c:delete val="1"/>
              <c:extLst>
                <c:ext xmlns:c15="http://schemas.microsoft.com/office/drawing/2012/chart" uri="{CE6537A1-D6FC-4f65-9D91-7224C49458BB}"/>
                <c:ext xmlns:c16="http://schemas.microsoft.com/office/drawing/2014/chart" uri="{C3380CC4-5D6E-409C-BE32-E72D297353CC}">
                  <c16:uniqueId val="{00000004-3A87-4248-AEAD-1851B77E1FE4}"/>
                </c:ext>
              </c:extLst>
            </c:dLbl>
            <c:dLbl>
              <c:idx val="2"/>
              <c:delete val="1"/>
              <c:extLst>
                <c:ext xmlns:c15="http://schemas.microsoft.com/office/drawing/2012/chart" uri="{CE6537A1-D6FC-4f65-9D91-7224C49458BB}"/>
                <c:ext xmlns:c16="http://schemas.microsoft.com/office/drawing/2014/chart" uri="{C3380CC4-5D6E-409C-BE32-E72D297353CC}">
                  <c16:uniqueId val="{00000003-3A87-4248-AEAD-1851B77E1FE4}"/>
                </c:ext>
              </c:extLst>
            </c:dLbl>
            <c:dLbl>
              <c:idx val="3"/>
              <c:layout>
                <c:manualLayout>
                  <c:x val="-3.3186625419828557E-17"/>
                  <c:y val="2.09571917729728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A87-4248-AEAD-1851B77E1FE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'Radiologists &amp; Reporting Radiog'!$B$73:$P$73</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'Radiologists &amp; Reporting Radiog'!$B$74:$P$74</c:f>
              <c:numCache>
                <c:formatCode>#,##0.0</c:formatCode>
                <c:ptCount val="15"/>
                <c:pt idx="0">
                  <c:v>20.323012110726644</c:v>
                </c:pt>
                <c:pt idx="1">
                  <c:v>20.308764705882357</c:v>
                </c:pt>
                <c:pt idx="2">
                  <c:v>19.889900346020767</c:v>
                </c:pt>
                <c:pt idx="3">
                  <c:v>14.550636332179932</c:v>
                </c:pt>
                <c:pt idx="4">
                  <c:v>17.591275432525954</c:v>
                </c:pt>
              </c:numCache>
            </c:numRef>
          </c:val>
          <c:smooth val="0"/>
          <c:extLst>
            <c:ext xmlns:c16="http://schemas.microsoft.com/office/drawing/2014/chart" uri="{C3380CC4-5D6E-409C-BE32-E72D297353CC}">
              <c16:uniqueId val="{00000000-21C2-499E-A19C-81F8518BA2AB}"/>
            </c:ext>
          </c:extLst>
        </c:ser>
        <c:ser>
          <c:idx val="1"/>
          <c:order val="1"/>
          <c:tx>
            <c:strRef>
              <c:f>'Radiologists &amp; Reporting Radiog'!$A$75</c:f>
              <c:strCache>
                <c:ptCount val="1"/>
                <c:pt idx="0">
                  <c:v>Projected Demand (No COVID adjustment)</c:v>
                </c:pt>
              </c:strCache>
            </c:strRef>
          </c:tx>
          <c:spPr>
            <a:ln w="28575" cap="rnd">
              <a:solidFill>
                <a:srgbClr val="66FF33"/>
              </a:solidFill>
              <a:round/>
            </a:ln>
            <a:effectLst/>
          </c:spPr>
          <c:marker>
            <c:symbol val="circle"/>
            <c:size val="5"/>
            <c:spPr>
              <a:solidFill>
                <a:srgbClr val="66FF33"/>
              </a:solidFill>
              <a:ln w="9525">
                <a:solidFill>
                  <a:srgbClr val="66FF3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'Radiologists &amp; Reporting Radiog'!$B$73:$P$73</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'Radiologists &amp; Reporting Radiog'!$B$75:$P$75</c:f>
              <c:numCache>
                <c:formatCode>#,##0.0</c:formatCode>
                <c:ptCount val="15"/>
                <c:pt idx="5">
                  <c:v>17.767188186851214</c:v>
                </c:pt>
                <c:pt idx="6">
                  <c:v>17.944860068719724</c:v>
                </c:pt>
                <c:pt idx="7">
                  <c:v>18.124308669406922</c:v>
                </c:pt>
                <c:pt idx="8">
                  <c:v>18.305551756100993</c:v>
                </c:pt>
                <c:pt idx="9">
                  <c:v>18.488607273662002</c:v>
                </c:pt>
                <c:pt idx="10">
                  <c:v>18.673493346398622</c:v>
                </c:pt>
                <c:pt idx="11">
                  <c:v>18.860228279862607</c:v>
                </c:pt>
                <c:pt idx="12">
                  <c:v>19.048830562661234</c:v>
                </c:pt>
                <c:pt idx="13">
                  <c:v>19.239318868287842</c:v>
                </c:pt>
                <c:pt idx="14">
                  <c:v>19.431712056970721</c:v>
                </c:pt>
              </c:numCache>
            </c:numRef>
          </c:val>
          <c:smooth val="0"/>
          <c:extLst>
            <c:ext xmlns:c16="http://schemas.microsoft.com/office/drawing/2014/chart" uri="{C3380CC4-5D6E-409C-BE32-E72D297353CC}">
              <c16:uniqueId val="{00000001-21C2-499E-A19C-81F8518BA2AB}"/>
            </c:ext>
          </c:extLst>
        </c:ser>
        <c:ser>
          <c:idx val="2"/>
          <c:order val="2"/>
          <c:tx>
            <c:strRef>
              <c:f>'Radiologists &amp; Reporting Radiog'!$A$76</c:f>
              <c:strCache>
                <c:ptCount val="1"/>
                <c:pt idx="0">
                  <c:v>Projected Demand (COVID-adjusted)</c:v>
                </c:pt>
              </c:strCache>
            </c:strRef>
          </c:tx>
          <c:spPr>
            <a:ln w="28575" cap="rnd">
              <a:solidFill>
                <a:srgbClr val="FF66FF"/>
              </a:solidFill>
              <a:round/>
            </a:ln>
            <a:effectLst/>
          </c:spPr>
          <c:marker>
            <c:symbol val="circle"/>
            <c:size val="5"/>
            <c:spPr>
              <a:solidFill>
                <a:srgbClr val="FF66FF"/>
              </a:solidFill>
              <a:ln w="9525">
                <a:solidFill>
                  <a:srgbClr val="FF66FF"/>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'Radiologists &amp; Reporting Radiog'!$B$73:$P$73</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'Radiologists &amp; Reporting Radiog'!$B$76:$P$76</c:f>
              <c:numCache>
                <c:formatCode>#,##0.0</c:formatCode>
                <c:ptCount val="15"/>
                <c:pt idx="2">
                  <c:v>20.408362629757786</c:v>
                </c:pt>
                <c:pt idx="3">
                  <c:v>20.612446256055364</c:v>
                </c:pt>
                <c:pt idx="4">
                  <c:v>20.818570718615923</c:v>
                </c:pt>
                <c:pt idx="5">
                  <c:v>21.02675642580208</c:v>
                </c:pt>
                <c:pt idx="6">
                  <c:v>21.237023990060102</c:v>
                </c:pt>
                <c:pt idx="7">
                  <c:v>21.449394229960703</c:v>
                </c:pt>
                <c:pt idx="8">
                  <c:v>21.663888172260307</c:v>
                </c:pt>
                <c:pt idx="9">
                  <c:v>21.880527053982913</c:v>
                </c:pt>
                <c:pt idx="10">
                  <c:v>22.099332324522738</c:v>
                </c:pt>
                <c:pt idx="11">
                  <c:v>22.320325647767969</c:v>
                </c:pt>
                <c:pt idx="12">
                  <c:v>22.543528904245647</c:v>
                </c:pt>
                <c:pt idx="13">
                  <c:v>22.768964193288102</c:v>
                </c:pt>
                <c:pt idx="14">
                  <c:v>22.996653835220982</c:v>
                </c:pt>
              </c:numCache>
            </c:numRef>
          </c:val>
          <c:smooth val="0"/>
          <c:extLst>
            <c:ext xmlns:c16="http://schemas.microsoft.com/office/drawing/2014/chart" uri="{C3380CC4-5D6E-409C-BE32-E72D297353CC}">
              <c16:uniqueId val="{00000002-21C2-499E-A19C-81F8518BA2AB}"/>
            </c:ext>
          </c:extLst>
        </c:ser>
        <c:ser>
          <c:idx val="3"/>
          <c:order val="3"/>
          <c:tx>
            <c:strRef>
              <c:f>'Radiologists &amp; Reporting Radiog'!$A$77</c:f>
              <c:strCache>
                <c:ptCount val="1"/>
                <c:pt idx="0">
                  <c:v>WTE Establishment (RRs)</c:v>
                </c:pt>
              </c:strCache>
            </c:strRef>
          </c:tx>
          <c:spPr>
            <a:ln w="28575" cap="rnd">
              <a:solidFill>
                <a:srgbClr val="0070C0"/>
              </a:solidFill>
              <a:round/>
            </a:ln>
            <a:effectLst/>
          </c:spPr>
          <c:marker>
            <c:symbol val="diamond"/>
            <c:size val="8"/>
            <c:spPr>
              <a:solidFill>
                <a:srgbClr val="0070C0"/>
              </a:solidFill>
              <a:ln w="9525">
                <a:solidFill>
                  <a:srgbClr val="0070C0"/>
                </a:solidFill>
              </a:ln>
              <a:effectLst/>
            </c:spPr>
          </c:marker>
          <c:dPt>
            <c:idx val="4"/>
            <c:marker>
              <c:symbol val="diamond"/>
              <c:size val="8"/>
              <c:spPr>
                <a:solidFill>
                  <a:srgbClr val="0070C0"/>
                </a:solidFill>
                <a:ln w="9525">
                  <a:solidFill>
                    <a:srgbClr val="0070C0"/>
                  </a:solidFill>
                </a:ln>
                <a:effectLst/>
              </c:spPr>
            </c:marker>
            <c:bubble3D val="0"/>
            <c:extLst>
              <c:ext xmlns:c16="http://schemas.microsoft.com/office/drawing/2014/chart" uri="{C3380CC4-5D6E-409C-BE32-E72D297353CC}">
                <c16:uniqueId val="{00000002-FDB2-4F97-9CC7-0B667157F2B0}"/>
              </c:ext>
            </c:extLst>
          </c:dPt>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DB2-4F97-9CC7-0B667157F2B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'Radiologists &amp; Reporting Radiog'!$B$73:$P$73</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'Radiologists &amp; Reporting Radiog'!$B$77:$P$77</c:f>
              <c:numCache>
                <c:formatCode>#,##0.0</c:formatCode>
                <c:ptCount val="1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numCache>
            </c:numRef>
          </c:val>
          <c:smooth val="0"/>
          <c:extLst xmlns:c15="http://schemas.microsoft.com/office/drawing/2012/chart">
            <c:ext xmlns:c16="http://schemas.microsoft.com/office/drawing/2014/chart" uri="{C3380CC4-5D6E-409C-BE32-E72D297353CC}">
              <c16:uniqueId val="{00000003-21C2-499E-A19C-81F8518BA2AB}"/>
            </c:ext>
          </c:extLst>
        </c:ser>
        <c:ser>
          <c:idx val="4"/>
          <c:order val="4"/>
          <c:tx>
            <c:strRef>
              <c:f>'Radiologists &amp; Reporting Radiog'!$A$78</c:f>
              <c:strCache>
                <c:ptCount val="1"/>
                <c:pt idx="0">
                  <c:v>WTE Staff In Post (RRs)</c:v>
                </c:pt>
              </c:strCache>
            </c:strRef>
          </c:tx>
          <c:spPr>
            <a:ln w="28575" cap="rnd">
              <a:solidFill>
                <a:srgbClr val="00B0F0"/>
              </a:solidFill>
              <a:round/>
            </a:ln>
            <a:effectLst/>
          </c:spPr>
          <c:marker>
            <c:symbol val="triangle"/>
            <c:size val="8"/>
            <c:spPr>
              <a:solidFill>
                <a:srgbClr val="00B0F0"/>
              </a:solidFill>
              <a:ln w="9525">
                <a:solidFill>
                  <a:srgbClr val="00B0F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'Radiologists &amp; Reporting Radiog'!$B$73:$P$73</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'Radiologists &amp; Reporting Radiog'!$B$78:$P$78</c:f>
              <c:numCache>
                <c:formatCode>#,##0.0</c:formatCode>
                <c:ptCount val="1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numCache>
            </c:numRef>
          </c:val>
          <c:smooth val="0"/>
          <c:extLst xmlns:c15="http://schemas.microsoft.com/office/drawing/2012/chart">
            <c:ext xmlns:c16="http://schemas.microsoft.com/office/drawing/2014/chart" uri="{C3380CC4-5D6E-409C-BE32-E72D297353CC}">
              <c16:uniqueId val="{00000004-21C2-499E-A19C-81F8518BA2AB}"/>
            </c:ext>
          </c:extLst>
        </c:ser>
        <c:ser>
          <c:idx val="5"/>
          <c:order val="5"/>
          <c:tx>
            <c:strRef>
              <c:f>'Radiologists &amp; Reporting Radiog'!$A$79</c:f>
              <c:strCache>
                <c:ptCount val="1"/>
                <c:pt idx="0">
                  <c:v>WTE Staff Employment Forecast (RRs)</c:v>
                </c:pt>
              </c:strCache>
            </c:strRef>
          </c:tx>
          <c:spPr>
            <a:ln w="28575" cap="sq">
              <a:solidFill>
                <a:srgbClr val="00B0F0"/>
              </a:solidFill>
              <a:prstDash val="sysDot"/>
              <a:round/>
            </a:ln>
            <a:effectLst/>
          </c:spPr>
          <c:marker>
            <c:symbol val="triangle"/>
            <c:size val="8"/>
            <c:spPr>
              <a:solidFill>
                <a:srgbClr val="00B0F0"/>
              </a:solidFill>
              <a:ln w="9525">
                <a:solidFill>
                  <a:srgbClr val="00B0F0"/>
                </a:solidFill>
              </a:ln>
              <a:effectLst/>
            </c:spPr>
          </c:marker>
          <c:cat>
            <c:strRef>
              <c:f>'Radiologists &amp; Reporting Radiog'!$B$73:$P$73</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'Radiologists &amp; Reporting Radiog'!$B$79:$P$79</c:f>
              <c:numCache>
                <c:formatCode>#,##0.0</c:formatCode>
                <c:ptCount val="1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numCache>
            </c:numRef>
          </c:val>
          <c:smooth val="0"/>
          <c:extLst>
            <c:ext xmlns:c16="http://schemas.microsoft.com/office/drawing/2014/chart" uri="{C3380CC4-5D6E-409C-BE32-E72D297353CC}">
              <c16:uniqueId val="{00000002-2661-4A4E-AB7A-8D01D12E6E30}"/>
            </c:ext>
          </c:extLst>
        </c:ser>
        <c:dLbls>
          <c:showLegendKey val="0"/>
          <c:showVal val="0"/>
          <c:showCatName val="0"/>
          <c:showSerName val="0"/>
          <c:showPercent val="0"/>
          <c:showBubbleSize val="0"/>
        </c:dLbls>
        <c:marker val="1"/>
        <c:smooth val="0"/>
        <c:axId val="752382624"/>
        <c:axId val="752383040"/>
        <c:extLst/>
      </c:lineChart>
      <c:catAx>
        <c:axId val="7523826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52383040"/>
        <c:crosses val="autoZero"/>
        <c:auto val="1"/>
        <c:lblAlgn val="ctr"/>
        <c:lblOffset val="100"/>
        <c:noMultiLvlLbl val="0"/>
      </c:catAx>
      <c:valAx>
        <c:axId val="75238304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52382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b="1">
                <a:solidFill>
                  <a:schemeClr val="tx1"/>
                </a:solidFill>
                <a:latin typeface="Arial" panose="020B0604020202020204" pitchFamily="34" charset="0"/>
                <a:cs typeface="Arial" panose="020B0604020202020204" pitchFamily="34" charset="0"/>
              </a:rPr>
              <a:t>WTE Band 5 </a:t>
            </a:r>
            <a:r>
              <a:rPr lang="en-GB" sz="900" b="0">
                <a:solidFill>
                  <a:schemeClr val="tx1"/>
                </a:solidFill>
                <a:latin typeface="Arial" panose="020B0604020202020204" pitchFamily="34" charset="0"/>
                <a:cs typeface="Arial" panose="020B0604020202020204" pitchFamily="34" charset="0"/>
              </a:rPr>
              <a:t>(Modelling assumption X-ray, DEXA)</a:t>
            </a:r>
            <a:endParaRPr lang="en-GB" sz="1200" b="1">
              <a:solidFill>
                <a:schemeClr val="tx1"/>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'Diagnostic Radiography'!$A$85</c:f>
              <c:strCache>
                <c:ptCount val="1"/>
                <c:pt idx="0">
                  <c:v>Activity Performed - Band 5 (Actual Exam Requests)</c:v>
                </c:pt>
              </c:strCache>
            </c:strRef>
          </c:tx>
          <c:spPr>
            <a:ln w="28575" cap="rnd">
              <a:solidFill>
                <a:schemeClr val="tx1"/>
              </a:solidFill>
              <a:round/>
            </a:ln>
            <a:effectLst/>
          </c:spPr>
          <c:marker>
            <c:symbol val="circle"/>
            <c:size val="6"/>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Radiography'!$B$85:$P$85</c:f>
              <c:numCache>
                <c:formatCode>#,##0.0</c:formatCode>
                <c:ptCount val="15"/>
                <c:pt idx="0">
                  <c:v>424.42540143629469</c:v>
                </c:pt>
                <c:pt idx="1">
                  <c:v>426.36488340192045</c:v>
                </c:pt>
                <c:pt idx="2">
                  <c:v>416.82372306947474</c:v>
                </c:pt>
                <c:pt idx="3">
                  <c:v>303.29240700395388</c:v>
                </c:pt>
                <c:pt idx="4">
                  <c:v>366.19084967320265</c:v>
                </c:pt>
              </c:numCache>
            </c:numRef>
          </c:val>
          <c:smooth val="0"/>
          <c:extLst xmlns:c15="http://schemas.microsoft.com/office/drawing/2012/chart">
            <c:ext xmlns:c16="http://schemas.microsoft.com/office/drawing/2014/chart" uri="{C3380CC4-5D6E-409C-BE32-E72D297353CC}">
              <c16:uniqueId val="{00000000-7A4C-4B8D-99A1-FA8E15AE77B2}"/>
            </c:ext>
          </c:extLst>
        </c:ser>
        <c:ser>
          <c:idx val="4"/>
          <c:order val="1"/>
          <c:tx>
            <c:strRef>
              <c:f>'Diagnostic Radiography'!$A$89</c:f>
              <c:strCache>
                <c:ptCount val="1"/>
                <c:pt idx="0">
                  <c:v>Projected Demand - Band 5 (No COVID adjustment)</c:v>
                </c:pt>
              </c:strCache>
            </c:strRef>
          </c:tx>
          <c:spPr>
            <a:ln w="28575" cap="rnd">
              <a:solidFill>
                <a:srgbClr val="66FF33"/>
              </a:solidFill>
              <a:round/>
            </a:ln>
            <a:effectLst/>
          </c:spPr>
          <c:marker>
            <c:symbol val="circle"/>
            <c:size val="5"/>
            <c:spPr>
              <a:solidFill>
                <a:srgbClr val="66FF33"/>
              </a:solidFill>
              <a:ln w="9525">
                <a:solidFill>
                  <a:srgbClr val="66FF3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Radiography'!$B$89:$P$89</c:f>
              <c:numCache>
                <c:formatCode>#,##0.0</c:formatCode>
                <c:ptCount val="15"/>
                <c:pt idx="4">
                  <c:v>366.19084967320265</c:v>
                </c:pt>
                <c:pt idx="5">
                  <c:v>369.85275816993465</c:v>
                </c:pt>
                <c:pt idx="6">
                  <c:v>373.55128575163394</c:v>
                </c:pt>
                <c:pt idx="7">
                  <c:v>377.28679860915025</c:v>
                </c:pt>
                <c:pt idx="8">
                  <c:v>381.05966659524182</c:v>
                </c:pt>
                <c:pt idx="9">
                  <c:v>384.87026326119422</c:v>
                </c:pt>
                <c:pt idx="10">
                  <c:v>388.71896589380617</c:v>
                </c:pt>
                <c:pt idx="11">
                  <c:v>392.60615555274421</c:v>
                </c:pt>
                <c:pt idx="12">
                  <c:v>396.53221710827165</c:v>
                </c:pt>
                <c:pt idx="13">
                  <c:v>400.49753927935438</c:v>
                </c:pt>
                <c:pt idx="14">
                  <c:v>404.50251467214792</c:v>
                </c:pt>
              </c:numCache>
            </c:numRef>
          </c:val>
          <c:smooth val="0"/>
          <c:extLst xmlns:c15="http://schemas.microsoft.com/office/drawing/2012/chart">
            <c:ext xmlns:c16="http://schemas.microsoft.com/office/drawing/2014/chart" uri="{C3380CC4-5D6E-409C-BE32-E72D297353CC}">
              <c16:uniqueId val="{00000004-7A4C-4B8D-99A1-FA8E15AE77B2}"/>
            </c:ext>
          </c:extLst>
        </c:ser>
        <c:ser>
          <c:idx val="5"/>
          <c:order val="2"/>
          <c:tx>
            <c:strRef>
              <c:f>'Diagnostic Radiography'!$A$90</c:f>
              <c:strCache>
                <c:ptCount val="1"/>
                <c:pt idx="0">
                  <c:v>Projected Demand - Band 5 (COVID-adjusted)</c:v>
                </c:pt>
              </c:strCache>
            </c:strRef>
          </c:tx>
          <c:spPr>
            <a:ln w="28575" cap="rnd">
              <a:solidFill>
                <a:srgbClr val="FF66FF"/>
              </a:solidFill>
              <a:round/>
            </a:ln>
            <a:effectLst/>
          </c:spPr>
          <c:marker>
            <c:symbol val="circle"/>
            <c:size val="5"/>
            <c:spPr>
              <a:solidFill>
                <a:srgbClr val="FF66FF"/>
              </a:solidFill>
              <a:ln w="9525">
                <a:solidFill>
                  <a:srgbClr val="FF66FF"/>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Radiography'!$B$90:$P$90</c:f>
              <c:numCache>
                <c:formatCode>#,##0.0</c:formatCode>
                <c:ptCount val="15"/>
                <c:pt idx="2">
                  <c:v>427.81432529115898</c:v>
                </c:pt>
                <c:pt idx="3">
                  <c:v>432.09246854407058</c:v>
                </c:pt>
                <c:pt idx="4">
                  <c:v>436.41339322951131</c:v>
                </c:pt>
                <c:pt idx="5">
                  <c:v>440.7775271618064</c:v>
                </c:pt>
                <c:pt idx="6">
                  <c:v>445.18530243342445</c:v>
                </c:pt>
                <c:pt idx="7">
                  <c:v>449.63715545775875</c:v>
                </c:pt>
                <c:pt idx="8">
                  <c:v>454.13352701233623</c:v>
                </c:pt>
                <c:pt idx="9">
                  <c:v>458.67486228245969</c:v>
                </c:pt>
                <c:pt idx="10">
                  <c:v>463.26161090528421</c:v>
                </c:pt>
                <c:pt idx="11">
                  <c:v>467.89422701433699</c:v>
                </c:pt>
                <c:pt idx="12">
                  <c:v>472.57316928448046</c:v>
                </c:pt>
                <c:pt idx="13">
                  <c:v>477.29890097732516</c:v>
                </c:pt>
                <c:pt idx="14">
                  <c:v>482.07188998709842</c:v>
                </c:pt>
              </c:numCache>
            </c:numRef>
          </c:val>
          <c:smooth val="0"/>
          <c:extLst xmlns:c15="http://schemas.microsoft.com/office/drawing/2012/chart">
            <c:ext xmlns:c16="http://schemas.microsoft.com/office/drawing/2014/chart" uri="{C3380CC4-5D6E-409C-BE32-E72D297353CC}">
              <c16:uniqueId val="{00000005-7A4C-4B8D-99A1-FA8E15AE77B2}"/>
            </c:ext>
          </c:extLst>
        </c:ser>
        <c:ser>
          <c:idx val="19"/>
          <c:order val="3"/>
          <c:tx>
            <c:strRef>
              <c:f>'Diagnostic Radiography'!$A$104</c:f>
              <c:strCache>
                <c:ptCount val="1"/>
                <c:pt idx="0">
                  <c:v>WTE Establishment - Band 5 (As at 30/09)</c:v>
                </c:pt>
              </c:strCache>
            </c:strRef>
          </c:tx>
          <c:spPr>
            <a:ln w="28575" cap="rnd">
              <a:solidFill>
                <a:srgbClr val="0070C0"/>
              </a:solidFill>
              <a:round/>
            </a:ln>
            <a:effectLst/>
          </c:spPr>
          <c:marker>
            <c:symbol val="diamond"/>
            <c:size val="7"/>
            <c:spPr>
              <a:solidFill>
                <a:srgbClr val="00B0F0"/>
              </a:solidFill>
              <a:ln w="9525">
                <a:solidFill>
                  <a:srgbClr val="0070C0"/>
                </a:solidFill>
              </a:ln>
              <a:effectLst/>
            </c:spPr>
          </c:marker>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Radiography'!$B$104:$P$104</c:f>
              <c:numCache>
                <c:formatCode>#,##0.0</c:formatCode>
                <c:ptCount val="1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numCache>
            </c:numRef>
          </c:val>
          <c:smooth val="0"/>
          <c:extLst xmlns:c15="http://schemas.microsoft.com/office/drawing/2012/chart">
            <c:ext xmlns:c16="http://schemas.microsoft.com/office/drawing/2014/chart" uri="{C3380CC4-5D6E-409C-BE32-E72D297353CC}">
              <c16:uniqueId val="{00000006-1086-40E8-8986-3F2843AC0A58}"/>
            </c:ext>
          </c:extLst>
        </c:ser>
        <c:ser>
          <c:idx val="22"/>
          <c:order val="4"/>
          <c:tx>
            <c:strRef>
              <c:f>'Diagnostic Radiography'!$A$107</c:f>
              <c:strCache>
                <c:ptCount val="1"/>
                <c:pt idx="0">
                  <c:v>WTE Staff In Post - Band 5 (As at 30/09)</c:v>
                </c:pt>
              </c:strCache>
            </c:strRef>
          </c:tx>
          <c:spPr>
            <a:ln w="28575" cap="rnd">
              <a:solidFill>
                <a:srgbClr val="00B0F0"/>
              </a:solidFill>
              <a:round/>
            </a:ln>
            <a:effectLst/>
          </c:spPr>
          <c:marker>
            <c:symbol val="triangle"/>
            <c:size val="7"/>
            <c:spPr>
              <a:solidFill>
                <a:srgbClr val="00B0F0"/>
              </a:solidFill>
              <a:ln w="9525">
                <a:solidFill>
                  <a:srgbClr val="0070C0"/>
                </a:solidFill>
              </a:ln>
              <a:effectLst/>
            </c:spPr>
          </c:marker>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Radiography'!$B$107:$P$107</c:f>
              <c:numCache>
                <c:formatCode>#,##0.0</c:formatCode>
                <c:ptCount val="15"/>
                <c:pt idx="0">
                  <c:v>330.58600000000001</c:v>
                </c:pt>
                <c:pt idx="1">
                  <c:v>341.149</c:v>
                </c:pt>
                <c:pt idx="2">
                  <c:v>335.7</c:v>
                </c:pt>
                <c:pt idx="3">
                  <c:v>332.4</c:v>
                </c:pt>
                <c:pt idx="4">
                  <c:v>336.2</c:v>
                </c:pt>
                <c:pt idx="5">
                  <c:v>#N/A</c:v>
                </c:pt>
                <c:pt idx="6">
                  <c:v>#N/A</c:v>
                </c:pt>
                <c:pt idx="7">
                  <c:v>#N/A</c:v>
                </c:pt>
                <c:pt idx="8">
                  <c:v>#N/A</c:v>
                </c:pt>
                <c:pt idx="9">
                  <c:v>#N/A</c:v>
                </c:pt>
                <c:pt idx="10">
                  <c:v>#N/A</c:v>
                </c:pt>
                <c:pt idx="11">
                  <c:v>#N/A</c:v>
                </c:pt>
                <c:pt idx="12">
                  <c:v>#N/A</c:v>
                </c:pt>
                <c:pt idx="13">
                  <c:v>#N/A</c:v>
                </c:pt>
                <c:pt idx="14">
                  <c:v>#N/A</c:v>
                </c:pt>
              </c:numCache>
            </c:numRef>
          </c:val>
          <c:smooth val="0"/>
          <c:extLst xmlns:c15="http://schemas.microsoft.com/office/drawing/2012/chart">
            <c:ext xmlns:c16="http://schemas.microsoft.com/office/drawing/2014/chart" uri="{C3380CC4-5D6E-409C-BE32-E72D297353CC}">
              <c16:uniqueId val="{00000009-1086-40E8-8986-3F2843AC0A58}"/>
            </c:ext>
          </c:extLst>
        </c:ser>
        <c:ser>
          <c:idx val="25"/>
          <c:order val="5"/>
          <c:tx>
            <c:strRef>
              <c:f>'Diagnostic Radiography'!$A$110</c:f>
              <c:strCache>
                <c:ptCount val="1"/>
                <c:pt idx="0">
                  <c:v>WTE Staff Employment Forecast - Band 5</c:v>
                </c:pt>
              </c:strCache>
            </c:strRef>
          </c:tx>
          <c:spPr>
            <a:ln w="28575" cap="sq">
              <a:solidFill>
                <a:srgbClr val="00B0F0"/>
              </a:solidFill>
              <a:prstDash val="sysDot"/>
              <a:round/>
            </a:ln>
            <a:effectLst/>
          </c:spPr>
          <c:marker>
            <c:symbol val="triangle"/>
            <c:size val="8"/>
            <c:spPr>
              <a:solidFill>
                <a:srgbClr val="00B0F0"/>
              </a:solidFill>
              <a:ln w="9525">
                <a:solidFill>
                  <a:srgbClr val="00B0F0"/>
                </a:solidFill>
              </a:ln>
              <a:effectLst/>
            </c:spPr>
          </c:marker>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Radiography'!$B$110:$P$110</c:f>
              <c:numCache>
                <c:formatCode>#,##0.0</c:formatCode>
                <c:ptCount val="1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numCache>
            </c:numRef>
          </c:val>
          <c:smooth val="0"/>
          <c:extLst xmlns:c15="http://schemas.microsoft.com/office/drawing/2012/chart">
            <c:ext xmlns:c16="http://schemas.microsoft.com/office/drawing/2014/chart" uri="{C3380CC4-5D6E-409C-BE32-E72D297353CC}">
              <c16:uniqueId val="{0000000C-1086-40E8-8986-3F2843AC0A58}"/>
            </c:ext>
          </c:extLst>
        </c:ser>
        <c:dLbls>
          <c:showLegendKey val="0"/>
          <c:showVal val="0"/>
          <c:showCatName val="0"/>
          <c:showSerName val="0"/>
          <c:showPercent val="0"/>
          <c:showBubbleSize val="0"/>
        </c:dLbls>
        <c:marker val="1"/>
        <c:smooth val="0"/>
        <c:axId val="956153711"/>
        <c:axId val="956162031"/>
        <c:extLst/>
      </c:lineChart>
      <c:catAx>
        <c:axId val="95615371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6162031"/>
        <c:crosses val="autoZero"/>
        <c:auto val="1"/>
        <c:lblAlgn val="ctr"/>
        <c:lblOffset val="100"/>
        <c:noMultiLvlLbl val="0"/>
      </c:catAx>
      <c:valAx>
        <c:axId val="95616203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615371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b="1">
                <a:solidFill>
                  <a:schemeClr val="tx1"/>
                </a:solidFill>
                <a:latin typeface="Arial" panose="020B0604020202020204" pitchFamily="34" charset="0"/>
                <a:cs typeface="Arial" panose="020B0604020202020204" pitchFamily="34" charset="0"/>
              </a:rPr>
              <a:t>WTE Band 6 </a:t>
            </a:r>
            <a:r>
              <a:rPr lang="en-GB" sz="900" b="0">
                <a:solidFill>
                  <a:schemeClr val="tx1"/>
                </a:solidFill>
                <a:latin typeface="Arial" panose="020B0604020202020204" pitchFamily="34" charset="0"/>
                <a:cs typeface="Arial" panose="020B0604020202020204" pitchFamily="34" charset="0"/>
              </a:rPr>
              <a:t>(Modelling assumption Mammo, NM, MRI, IR, Fluoro, CT)</a:t>
            </a:r>
            <a:endParaRPr lang="en-GB" sz="1200" b="0">
              <a:solidFill>
                <a:schemeClr val="tx1"/>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'Diagnostic Radiography'!$A$86</c:f>
              <c:strCache>
                <c:ptCount val="1"/>
                <c:pt idx="0">
                  <c:v>Activity Performed - Band 6 (Actual Exam Requests)</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Radiography'!$B$86:$P$86</c:f>
              <c:numCache>
                <c:formatCode>#,##0.0</c:formatCode>
                <c:ptCount val="15"/>
                <c:pt idx="0">
                  <c:v>1005.9609464156033</c:v>
                </c:pt>
                <c:pt idx="1">
                  <c:v>1035.2005718954247</c:v>
                </c:pt>
                <c:pt idx="2">
                  <c:v>1063.7216970121381</c:v>
                </c:pt>
                <c:pt idx="3">
                  <c:v>890.02192265795202</c:v>
                </c:pt>
                <c:pt idx="4">
                  <c:v>965.62915629214649</c:v>
                </c:pt>
              </c:numCache>
            </c:numRef>
          </c:val>
          <c:smooth val="0"/>
          <c:extLst xmlns:c15="http://schemas.microsoft.com/office/drawing/2012/chart">
            <c:ext xmlns:c16="http://schemas.microsoft.com/office/drawing/2014/chart" uri="{C3380CC4-5D6E-409C-BE32-E72D297353CC}">
              <c16:uniqueId val="{00000004-25E9-4597-8F45-E0C7E8091DC4}"/>
            </c:ext>
          </c:extLst>
        </c:ser>
        <c:ser>
          <c:idx val="6"/>
          <c:order val="1"/>
          <c:tx>
            <c:strRef>
              <c:f>'Diagnostic Radiography'!$A$91</c:f>
              <c:strCache>
                <c:ptCount val="1"/>
                <c:pt idx="0">
                  <c:v>Lower Projected Demand - Band 6 (No COVID adjustment)</c:v>
                </c:pt>
              </c:strCache>
            </c:strRef>
          </c:tx>
          <c:spPr>
            <a:ln w="28575" cap="rnd">
              <a:solidFill>
                <a:srgbClr val="66FF33"/>
              </a:solidFill>
              <a:round/>
            </a:ln>
            <a:effectLst/>
          </c:spPr>
          <c:marker>
            <c:symbol val="circle"/>
            <c:size val="5"/>
            <c:spPr>
              <a:solidFill>
                <a:srgbClr val="66FF33"/>
              </a:solidFill>
              <a:ln w="9525">
                <a:solidFill>
                  <a:srgbClr val="66FF3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Radiography'!$B$91:$P$91</c:f>
              <c:numCache>
                <c:formatCode>#,##0.0</c:formatCode>
                <c:ptCount val="15"/>
                <c:pt idx="4">
                  <c:v>965.62915629214649</c:v>
                </c:pt>
                <c:pt idx="5">
                  <c:v>1028.4145415758894</c:v>
                </c:pt>
                <c:pt idx="6">
                  <c:v>1095.4535821247018</c:v>
                </c:pt>
                <c:pt idx="7">
                  <c:v>1167.0370264811963</c:v>
                </c:pt>
                <c:pt idx="8">
                  <c:v>1243.4755698661761</c:v>
                </c:pt>
                <c:pt idx="9">
                  <c:v>1325.1012262501183</c:v>
                </c:pt>
                <c:pt idx="10">
                  <c:v>1412.2687950193722</c:v>
                </c:pt>
                <c:pt idx="11">
                  <c:v>1505.3574287717033</c:v>
                </c:pt>
                <c:pt idx="12">
                  <c:v>1604.7723092280155</c:v>
                </c:pt>
                <c:pt idx="13">
                  <c:v>1710.946438730618</c:v>
                </c:pt>
                <c:pt idx="14">
                  <c:v>1824.3425553154912</c:v>
                </c:pt>
              </c:numCache>
            </c:numRef>
          </c:val>
          <c:smooth val="0"/>
          <c:extLst xmlns:c15="http://schemas.microsoft.com/office/drawing/2012/chart">
            <c:ext xmlns:c16="http://schemas.microsoft.com/office/drawing/2014/chart" uri="{C3380CC4-5D6E-409C-BE32-E72D297353CC}">
              <c16:uniqueId val="{00000007-25E9-4597-8F45-E0C7E8091DC4}"/>
            </c:ext>
          </c:extLst>
        </c:ser>
        <c:ser>
          <c:idx val="7"/>
          <c:order val="2"/>
          <c:tx>
            <c:strRef>
              <c:f>'Diagnostic Radiography'!$A$92</c:f>
              <c:strCache>
                <c:ptCount val="1"/>
                <c:pt idx="0">
                  <c:v>Upper Projected Demand - Band 6 (No COVID adjustment)</c:v>
                </c:pt>
              </c:strCache>
            </c:strRef>
          </c:tx>
          <c:spPr>
            <a:ln w="28575" cap="rnd">
              <a:solidFill>
                <a:srgbClr val="66FF33"/>
              </a:solidFill>
              <a:round/>
            </a:ln>
            <a:effectLst/>
          </c:spPr>
          <c:marker>
            <c:symbol val="circle"/>
            <c:size val="5"/>
            <c:spPr>
              <a:solidFill>
                <a:srgbClr val="66FF33"/>
              </a:solidFill>
              <a:ln w="9525">
                <a:solidFill>
                  <a:srgbClr val="66FF33"/>
                </a:solidFill>
              </a:ln>
              <a:effectLst/>
            </c:spPr>
          </c:marker>
          <c:dLbls>
            <c:delete val="1"/>
          </c:dLbls>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Radiography'!$B$92:$P$92</c:f>
              <c:numCache>
                <c:formatCode>#,##0.0</c:formatCode>
                <c:ptCount val="15"/>
                <c:pt idx="4">
                  <c:v>965.62915629214649</c:v>
                </c:pt>
                <c:pt idx="5">
                  <c:v>1050.6000846820211</c:v>
                </c:pt>
                <c:pt idx="6">
                  <c:v>1143.6777025728811</c:v>
                </c:pt>
                <c:pt idx="7">
                  <c:v>1245.662843270801</c:v>
                </c:pt>
                <c:pt idx="8">
                  <c:v>1357.4372967093134</c:v>
                </c:pt>
                <c:pt idx="9">
                  <c:v>1479.9721333340744</c:v>
                </c:pt>
                <c:pt idx="10">
                  <c:v>1614.336894922757</c:v>
                </c:pt>
                <c:pt idx="11">
                  <c:v>1761.7097435382982</c:v>
                </c:pt>
                <c:pt idx="12">
                  <c:v>1923.3886694836463</c:v>
                </c:pt>
                <c:pt idx="13">
                  <c:v>2100.8038698280875</c:v>
                </c:pt>
                <c:pt idx="14">
                  <c:v>2295.5314209198023</c:v>
                </c:pt>
              </c:numCache>
            </c:numRef>
          </c:val>
          <c:smooth val="0"/>
          <c:extLst xmlns:c15="http://schemas.microsoft.com/office/drawing/2012/chart">
            <c:ext xmlns:c16="http://schemas.microsoft.com/office/drawing/2014/chart" uri="{C3380CC4-5D6E-409C-BE32-E72D297353CC}">
              <c16:uniqueId val="{00000008-25E9-4597-8F45-E0C7E8091DC4}"/>
            </c:ext>
          </c:extLst>
        </c:ser>
        <c:ser>
          <c:idx val="8"/>
          <c:order val="3"/>
          <c:tx>
            <c:strRef>
              <c:f>'Diagnostic Radiography'!$A$93</c:f>
              <c:strCache>
                <c:ptCount val="1"/>
                <c:pt idx="0">
                  <c:v>Lower Projected Demand - Band 6 (COVID-adjusted)</c:v>
                </c:pt>
              </c:strCache>
            </c:strRef>
          </c:tx>
          <c:spPr>
            <a:ln w="28575" cap="rnd">
              <a:solidFill>
                <a:srgbClr val="FF66FF"/>
              </a:solidFill>
              <a:round/>
            </a:ln>
            <a:effectLst/>
          </c:spPr>
          <c:marker>
            <c:symbol val="circle"/>
            <c:size val="5"/>
            <c:spPr>
              <a:solidFill>
                <a:srgbClr val="FF66FF"/>
              </a:solidFill>
              <a:ln w="9525">
                <a:solidFill>
                  <a:srgbClr val="FF66FF"/>
                </a:solidFill>
              </a:ln>
              <a:effectLst/>
            </c:spPr>
          </c:marker>
          <c:dLbls>
            <c:delete val="1"/>
          </c:dLbls>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Radiography'!$B$93:$P$93</c:f>
              <c:numCache>
                <c:formatCode>#,##0.0</c:formatCode>
                <c:ptCount val="15"/>
                <c:pt idx="2">
                  <c:v>1075.1816492028909</c:v>
                </c:pt>
                <c:pt idx="3">
                  <c:v>1145.1832641698654</c:v>
                </c:pt>
                <c:pt idx="4">
                  <c:v>1219.9323708700763</c:v>
                </c:pt>
                <c:pt idx="5">
                  <c:v>1299.753766893125</c:v>
                </c:pt>
                <c:pt idx="6">
                  <c:v>1384.9945503544527</c:v>
                </c:pt>
                <c:pt idx="7">
                  <c:v>1476.0256549768685</c:v>
                </c:pt>
                <c:pt idx="8">
                  <c:v>1573.2434910720963</c:v>
                </c:pt>
                <c:pt idx="9">
                  <c:v>1677.0716997420222</c:v>
                </c:pt>
                <c:pt idx="10">
                  <c:v>1787.9630281260888</c:v>
                </c:pt>
                <c:pt idx="11">
                  <c:v>1906.4013340632159</c:v>
                </c:pt>
                <c:pt idx="12">
                  <c:v>2032.9037291161089</c:v>
                </c:pt>
                <c:pt idx="13">
                  <c:v>2168.0228695255032</c:v>
                </c:pt>
                <c:pt idx="14">
                  <c:v>2312.3494053245472</c:v>
                </c:pt>
              </c:numCache>
            </c:numRef>
          </c:val>
          <c:smooth val="0"/>
          <c:extLst xmlns:c15="http://schemas.microsoft.com/office/drawing/2012/chart">
            <c:ext xmlns:c16="http://schemas.microsoft.com/office/drawing/2014/chart" uri="{C3380CC4-5D6E-409C-BE32-E72D297353CC}">
              <c16:uniqueId val="{00000009-25E9-4597-8F45-E0C7E8091DC4}"/>
            </c:ext>
          </c:extLst>
        </c:ser>
        <c:ser>
          <c:idx val="9"/>
          <c:order val="4"/>
          <c:tx>
            <c:strRef>
              <c:f>'Diagnostic Radiography'!$A$94</c:f>
              <c:strCache>
                <c:ptCount val="1"/>
                <c:pt idx="0">
                  <c:v>Upper Projected Demand - Band 6 (COVID-adjusted)</c:v>
                </c:pt>
              </c:strCache>
            </c:strRef>
          </c:tx>
          <c:spPr>
            <a:ln w="28575" cap="rnd">
              <a:solidFill>
                <a:srgbClr val="FF66FF"/>
              </a:solidFill>
              <a:round/>
            </a:ln>
            <a:effectLst/>
          </c:spPr>
          <c:marker>
            <c:symbol val="circle"/>
            <c:size val="5"/>
            <c:spPr>
              <a:solidFill>
                <a:srgbClr val="FF66FF"/>
              </a:solidFill>
              <a:ln w="9525">
                <a:solidFill>
                  <a:srgbClr val="FF66FF"/>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Radiography'!$B$94:$P$94</c:f>
              <c:numCache>
                <c:formatCode>#,##0.0</c:formatCode>
                <c:ptCount val="15"/>
                <c:pt idx="2">
                  <c:v>1075.1816492028909</c:v>
                </c:pt>
                <c:pt idx="3">
                  <c:v>1171.1390624891933</c:v>
                </c:pt>
                <c:pt idx="4">
                  <c:v>1276.3784769391707</c:v>
                </c:pt>
                <c:pt idx="5">
                  <c:v>1391.8286641088114</c:v>
                </c:pt>
                <c:pt idx="6">
                  <c:v>1518.5133816437151</c:v>
                </c:pt>
                <c:pt idx="7">
                  <c:v>1657.5612409000792</c:v>
                </c:pt>
                <c:pt idx="8">
                  <c:v>1810.2166116203402</c:v>
                </c:pt>
                <c:pt idx="9">
                  <c:v>1977.8516736183083</c:v>
                </c:pt>
                <c:pt idx="10">
                  <c:v>2161.9797371667464</c:v>
                </c:pt>
                <c:pt idx="11">
                  <c:v>2364.2699667783818</c:v>
                </c:pt>
                <c:pt idx="12">
                  <c:v>2586.5636574651257</c:v>
                </c:pt>
                <c:pt idx="13">
                  <c:v>2830.8922285002786</c:v>
                </c:pt>
                <c:pt idx="14">
                  <c:v>3099.4971173616291</c:v>
                </c:pt>
              </c:numCache>
            </c:numRef>
          </c:val>
          <c:smooth val="0"/>
          <c:extLst xmlns:c15="http://schemas.microsoft.com/office/drawing/2012/chart">
            <c:ext xmlns:c16="http://schemas.microsoft.com/office/drawing/2014/chart" uri="{C3380CC4-5D6E-409C-BE32-E72D297353CC}">
              <c16:uniqueId val="{0000000A-25E9-4597-8F45-E0C7E8091DC4}"/>
            </c:ext>
          </c:extLst>
        </c:ser>
        <c:ser>
          <c:idx val="20"/>
          <c:order val="5"/>
          <c:tx>
            <c:strRef>
              <c:f>'Diagnostic Radiography'!$A$105</c:f>
              <c:strCache>
                <c:ptCount val="1"/>
                <c:pt idx="0">
                  <c:v>WTE Establishment - Band 6 (As at 30/09)</c:v>
                </c:pt>
              </c:strCache>
            </c:strRef>
          </c:tx>
          <c:spPr>
            <a:ln w="28575" cap="rnd">
              <a:solidFill>
                <a:srgbClr val="0070C0"/>
              </a:solidFill>
              <a:round/>
            </a:ln>
            <a:effectLst/>
          </c:spPr>
          <c:marker>
            <c:symbol val="diamond"/>
            <c:size val="8"/>
            <c:spPr>
              <a:solidFill>
                <a:srgbClr val="0070C0"/>
              </a:solidFill>
              <a:ln w="9525">
                <a:solidFill>
                  <a:srgbClr val="00B0F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Radiography'!$B$105:$P$105</c:f>
              <c:numCache>
                <c:formatCode>#,##0.0</c:formatCode>
                <c:ptCount val="1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numCache>
            </c:numRef>
          </c:val>
          <c:smooth val="0"/>
          <c:extLst xmlns:c15="http://schemas.microsoft.com/office/drawing/2012/chart">
            <c:ext xmlns:c16="http://schemas.microsoft.com/office/drawing/2014/chart" uri="{C3380CC4-5D6E-409C-BE32-E72D297353CC}">
              <c16:uniqueId val="{00000007-70AD-4106-89AF-78011D18B47C}"/>
            </c:ext>
          </c:extLst>
        </c:ser>
        <c:ser>
          <c:idx val="23"/>
          <c:order val="6"/>
          <c:tx>
            <c:strRef>
              <c:f>'Diagnostic Radiography'!$A$108</c:f>
              <c:strCache>
                <c:ptCount val="1"/>
                <c:pt idx="0">
                  <c:v>WTE Staff In Post - Band 6 (As at 30/09)</c:v>
                </c:pt>
              </c:strCache>
            </c:strRef>
          </c:tx>
          <c:spPr>
            <a:ln w="28575" cap="rnd">
              <a:solidFill>
                <a:srgbClr val="00B0F0"/>
              </a:solidFill>
              <a:round/>
            </a:ln>
            <a:effectLst/>
          </c:spPr>
          <c:marker>
            <c:symbol val="triangle"/>
            <c:size val="7"/>
            <c:spPr>
              <a:solidFill>
                <a:srgbClr val="0070C0"/>
              </a:solidFill>
              <a:ln w="9525">
                <a:solidFill>
                  <a:srgbClr val="00B0F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Radiography'!$B$108:$P$108</c:f>
              <c:numCache>
                <c:formatCode>#,##0.0</c:formatCode>
                <c:ptCount val="15"/>
                <c:pt idx="0">
                  <c:v>821.44200000000001</c:v>
                </c:pt>
                <c:pt idx="1">
                  <c:v>835.47199999999998</c:v>
                </c:pt>
                <c:pt idx="2">
                  <c:v>861.2</c:v>
                </c:pt>
                <c:pt idx="3">
                  <c:v>873.2</c:v>
                </c:pt>
                <c:pt idx="4">
                  <c:v>905.8</c:v>
                </c:pt>
                <c:pt idx="5">
                  <c:v>#N/A</c:v>
                </c:pt>
                <c:pt idx="6">
                  <c:v>#N/A</c:v>
                </c:pt>
                <c:pt idx="7">
                  <c:v>#N/A</c:v>
                </c:pt>
                <c:pt idx="8">
                  <c:v>#N/A</c:v>
                </c:pt>
                <c:pt idx="9">
                  <c:v>#N/A</c:v>
                </c:pt>
                <c:pt idx="10">
                  <c:v>#N/A</c:v>
                </c:pt>
                <c:pt idx="11">
                  <c:v>#N/A</c:v>
                </c:pt>
                <c:pt idx="12">
                  <c:v>#N/A</c:v>
                </c:pt>
                <c:pt idx="13">
                  <c:v>#N/A</c:v>
                </c:pt>
                <c:pt idx="14">
                  <c:v>#N/A</c:v>
                </c:pt>
              </c:numCache>
            </c:numRef>
          </c:val>
          <c:smooth val="0"/>
          <c:extLst xmlns:c15="http://schemas.microsoft.com/office/drawing/2012/chart">
            <c:ext xmlns:c16="http://schemas.microsoft.com/office/drawing/2014/chart" uri="{C3380CC4-5D6E-409C-BE32-E72D297353CC}">
              <c16:uniqueId val="{0000000A-70AD-4106-89AF-78011D18B47C}"/>
            </c:ext>
          </c:extLst>
        </c:ser>
        <c:ser>
          <c:idx val="26"/>
          <c:order val="7"/>
          <c:tx>
            <c:strRef>
              <c:f>'Diagnostic Radiography'!$A$111</c:f>
              <c:strCache>
                <c:ptCount val="1"/>
                <c:pt idx="0">
                  <c:v>WTE Staff Employment Forecast - Band 6</c:v>
                </c:pt>
              </c:strCache>
            </c:strRef>
          </c:tx>
          <c:spPr>
            <a:ln w="28575" cap="sq">
              <a:solidFill>
                <a:srgbClr val="00B0F0"/>
              </a:solidFill>
              <a:prstDash val="sysDot"/>
              <a:round/>
            </a:ln>
            <a:effectLst/>
          </c:spPr>
          <c:marker>
            <c:symbol val="triangle"/>
            <c:size val="8"/>
            <c:spPr>
              <a:solidFill>
                <a:srgbClr val="00B0F0"/>
              </a:solidFill>
              <a:ln w="9525">
                <a:solidFill>
                  <a:srgbClr val="21C5FF"/>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Radiography'!$B$111:$P$111</c:f>
              <c:numCache>
                <c:formatCode>#,##0.0</c:formatCode>
                <c:ptCount val="1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numCache>
            </c:numRef>
          </c:val>
          <c:smooth val="0"/>
          <c:extLst>
            <c:ext xmlns:c16="http://schemas.microsoft.com/office/drawing/2014/chart" uri="{C3380CC4-5D6E-409C-BE32-E72D297353CC}">
              <c16:uniqueId val="{00000001-0088-4B5F-8955-EE5C49830E69}"/>
            </c:ext>
          </c:extLst>
        </c:ser>
        <c:dLbls>
          <c:dLblPos val="t"/>
          <c:showLegendKey val="0"/>
          <c:showVal val="1"/>
          <c:showCatName val="0"/>
          <c:showSerName val="0"/>
          <c:showPercent val="0"/>
          <c:showBubbleSize val="0"/>
        </c:dLbls>
        <c:marker val="1"/>
        <c:smooth val="0"/>
        <c:axId val="956153711"/>
        <c:axId val="956162031"/>
        <c:extLst/>
      </c:lineChart>
      <c:catAx>
        <c:axId val="95615371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6162031"/>
        <c:crosses val="autoZero"/>
        <c:auto val="1"/>
        <c:lblAlgn val="ctr"/>
        <c:lblOffset val="100"/>
        <c:noMultiLvlLbl val="0"/>
      </c:catAx>
      <c:valAx>
        <c:axId val="95616203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615371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b="1">
                <a:solidFill>
                  <a:schemeClr val="tx1"/>
                </a:solidFill>
                <a:latin typeface="Arial" panose="020B0604020202020204" pitchFamily="34" charset="0"/>
                <a:cs typeface="Arial" panose="020B0604020202020204" pitchFamily="34" charset="0"/>
              </a:rPr>
              <a:t>WTE Bands</a:t>
            </a:r>
            <a:r>
              <a:rPr lang="en-GB" sz="1200" b="1" baseline="0">
                <a:solidFill>
                  <a:schemeClr val="tx1"/>
                </a:solidFill>
                <a:latin typeface="Arial" panose="020B0604020202020204" pitchFamily="34" charset="0"/>
                <a:cs typeface="Arial" panose="020B0604020202020204" pitchFamily="34" charset="0"/>
              </a:rPr>
              <a:t> 5, 6 &amp; 7</a:t>
            </a:r>
            <a:r>
              <a:rPr lang="en-GB" sz="1200" b="1">
                <a:solidFill>
                  <a:schemeClr val="tx1"/>
                </a:solidFill>
                <a:latin typeface="Arial" panose="020B0604020202020204" pitchFamily="34" charset="0"/>
                <a:cs typeface="Arial" panose="020B0604020202020204" pitchFamily="34" charset="0"/>
              </a:rPr>
              <a:t> </a:t>
            </a:r>
            <a:r>
              <a:rPr lang="en-GB" sz="900" b="0">
                <a:solidFill>
                  <a:schemeClr val="tx1"/>
                </a:solidFill>
                <a:latin typeface="Arial" panose="020B0604020202020204" pitchFamily="34" charset="0"/>
                <a:cs typeface="Arial" panose="020B0604020202020204" pitchFamily="34" charset="0"/>
              </a:rPr>
              <a:t>(Excluding</a:t>
            </a:r>
            <a:r>
              <a:rPr lang="en-GB" sz="900" b="0" baseline="0">
                <a:solidFill>
                  <a:schemeClr val="tx1"/>
                </a:solidFill>
                <a:latin typeface="Arial" panose="020B0604020202020204" pitchFamily="34" charset="0"/>
                <a:cs typeface="Arial" panose="020B0604020202020204" pitchFamily="34" charset="0"/>
              </a:rPr>
              <a:t> Reporting Radiographers, Sonographers</a:t>
            </a:r>
            <a:r>
              <a:rPr lang="en-GB" sz="900" b="0">
                <a:solidFill>
                  <a:schemeClr val="tx1"/>
                </a:solidFill>
                <a:latin typeface="Arial" panose="020B0604020202020204" pitchFamily="34" charset="0"/>
                <a:cs typeface="Arial" panose="020B0604020202020204" pitchFamily="34" charset="0"/>
              </a:rPr>
              <a:t>)</a:t>
            </a:r>
            <a:endParaRPr lang="en-GB" sz="1200" b="1">
              <a:solidFill>
                <a:schemeClr val="tx1"/>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0"/>
          <c:tx>
            <c:strRef>
              <c:f>'Diagnostic Radiography'!$A$88</c:f>
              <c:strCache>
                <c:ptCount val="1"/>
                <c:pt idx="0">
                  <c:v>Activity Performed - Bands 5, 6 + 7 excl. RR, Sonographers (Actual Exam Requests)</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Radiography'!$B$88:$P$88</c:f>
              <c:numCache>
                <c:formatCode>#,##0.0</c:formatCode>
                <c:ptCount val="15"/>
                <c:pt idx="0">
                  <c:v>1740.9576228178062</c:v>
                </c:pt>
                <c:pt idx="1">
                  <c:v>1777.8475112179785</c:v>
                </c:pt>
                <c:pt idx="2">
                  <c:v>1799.1614755722217</c:v>
                </c:pt>
                <c:pt idx="3">
                  <c:v>1447.4578339815955</c:v>
                </c:pt>
                <c:pt idx="4">
                  <c:v>1615.5940663641913</c:v>
                </c:pt>
              </c:numCache>
            </c:numRef>
          </c:val>
          <c:smooth val="0"/>
          <c:extLst xmlns:c15="http://schemas.microsoft.com/office/drawing/2012/chart">
            <c:ext xmlns:c16="http://schemas.microsoft.com/office/drawing/2014/chart" uri="{C3380CC4-5D6E-409C-BE32-E72D297353CC}">
              <c16:uniqueId val="{00000006-73DD-4071-A4B1-03A26E2E5BE7}"/>
            </c:ext>
          </c:extLst>
        </c:ser>
        <c:ser>
          <c:idx val="14"/>
          <c:order val="1"/>
          <c:tx>
            <c:strRef>
              <c:f>'Diagnostic Radiography'!$A$99</c:f>
              <c:strCache>
                <c:ptCount val="1"/>
                <c:pt idx="0">
                  <c:v>Lower Projected Demand - Bands 5, 6 + 7 excl. RR, Sonographers (No COVID adjustment)</c:v>
                </c:pt>
              </c:strCache>
            </c:strRef>
          </c:tx>
          <c:spPr>
            <a:ln w="28575" cap="rnd">
              <a:solidFill>
                <a:srgbClr val="66FF33"/>
              </a:solidFill>
              <a:round/>
            </a:ln>
            <a:effectLst/>
          </c:spPr>
          <c:marker>
            <c:symbol val="circle"/>
            <c:size val="5"/>
            <c:spPr>
              <a:solidFill>
                <a:srgbClr val="66FF33"/>
              </a:solidFill>
              <a:ln w="9525">
                <a:solidFill>
                  <a:srgbClr val="66FF3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Radiography'!$B$99:$P$99</c:f>
              <c:numCache>
                <c:formatCode>#,##0.0</c:formatCode>
                <c:ptCount val="15"/>
                <c:pt idx="4">
                  <c:v>1615.5940663641913</c:v>
                </c:pt>
                <c:pt idx="5">
                  <c:v>1695.7161970284221</c:v>
                </c:pt>
                <c:pt idx="6">
                  <c:v>1780.9719503174565</c:v>
                </c:pt>
                <c:pt idx="7">
                  <c:v>1871.7079171916339</c:v>
                </c:pt>
                <c:pt idx="8">
                  <c:v>1968.2943695732224</c:v>
                </c:pt>
                <c:pt idx="9">
                  <c:v>2071.1268861638555</c:v>
                </c:pt>
                <c:pt idx="10">
                  <c:v>2180.6280902327708</c:v>
                </c:pt>
                <c:pt idx="11">
                  <c:v>2297.2495071061717</c:v>
                </c:pt>
                <c:pt idx="12">
                  <c:v>2421.4735496227777</c:v>
                </c:pt>
                <c:pt idx="13">
                  <c:v>2553.8156403924418</c:v>
                </c:pt>
                <c:pt idx="14">
                  <c:v>2694.8264803061834</c:v>
                </c:pt>
              </c:numCache>
            </c:numRef>
          </c:val>
          <c:smooth val="0"/>
          <c:extLst xmlns:c15="http://schemas.microsoft.com/office/drawing/2012/chart">
            <c:ext xmlns:c16="http://schemas.microsoft.com/office/drawing/2014/chart" uri="{C3380CC4-5D6E-409C-BE32-E72D297353CC}">
              <c16:uniqueId val="{0000000F-73DD-4071-A4B1-03A26E2E5BE7}"/>
            </c:ext>
          </c:extLst>
        </c:ser>
        <c:ser>
          <c:idx val="15"/>
          <c:order val="2"/>
          <c:tx>
            <c:strRef>
              <c:f>'Diagnostic Radiography'!$A$100</c:f>
              <c:strCache>
                <c:ptCount val="1"/>
                <c:pt idx="0">
                  <c:v>Upper Projected Demand - Bands 5, 6 + 7 excl. RR, Sonographers (No COVID adjustment)</c:v>
                </c:pt>
              </c:strCache>
            </c:strRef>
          </c:tx>
          <c:spPr>
            <a:ln w="28575" cap="rnd">
              <a:solidFill>
                <a:srgbClr val="66FF33"/>
              </a:solidFill>
              <a:round/>
            </a:ln>
            <a:effectLst/>
          </c:spPr>
          <c:marker>
            <c:symbol val="circle"/>
            <c:size val="5"/>
            <c:spPr>
              <a:solidFill>
                <a:srgbClr val="66FF33"/>
              </a:solidFill>
              <a:ln w="9525">
                <a:solidFill>
                  <a:srgbClr val="66FF33"/>
                </a:solidFill>
              </a:ln>
              <a:effectLst/>
            </c:spPr>
          </c:marker>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Radiography'!$B$100:$P$100</c:f>
              <c:numCache>
                <c:formatCode>#,##0.0</c:formatCode>
                <c:ptCount val="15"/>
                <c:pt idx="4">
                  <c:v>1615.5940663641913</c:v>
                </c:pt>
                <c:pt idx="5">
                  <c:v>1722.7179097949218</c:v>
                </c:pt>
                <c:pt idx="6">
                  <c:v>1839.6075023988135</c:v>
                </c:pt>
                <c:pt idx="7">
                  <c:v>1967.2182711728124</c:v>
                </c:pt>
                <c:pt idx="8">
                  <c:v>2106.601842604251</c:v>
                </c:pt>
                <c:pt idx="9">
                  <c:v>2258.9159118102775</c:v>
                </c:pt>
                <c:pt idx="10">
                  <c:v>2425.4351382110121</c:v>
                </c:pt>
                <c:pt idx="11">
                  <c:v>2607.5631756415719</c:v>
                </c:pt>
                <c:pt idx="12">
                  <c:v>2806.8459562446055</c:v>
                </c:pt>
                <c:pt idx="13">
                  <c:v>3024.9863601415937</c:v>
                </c:pt>
                <c:pt idx="14">
                  <c:v>3263.8604168888</c:v>
                </c:pt>
              </c:numCache>
            </c:numRef>
          </c:val>
          <c:smooth val="0"/>
          <c:extLst xmlns:c15="http://schemas.microsoft.com/office/drawing/2012/chart">
            <c:ext xmlns:c16="http://schemas.microsoft.com/office/drawing/2014/chart" uri="{C3380CC4-5D6E-409C-BE32-E72D297353CC}">
              <c16:uniqueId val="{00000010-73DD-4071-A4B1-03A26E2E5BE7}"/>
            </c:ext>
          </c:extLst>
        </c:ser>
        <c:ser>
          <c:idx val="16"/>
          <c:order val="3"/>
          <c:tx>
            <c:strRef>
              <c:f>'Diagnostic Radiography'!$A$101</c:f>
              <c:strCache>
                <c:ptCount val="1"/>
                <c:pt idx="0">
                  <c:v>Lower Projected Demand - Bands 5, 6 + 7 excl. RR, Sonographers (COVID-adjusted)</c:v>
                </c:pt>
              </c:strCache>
            </c:strRef>
          </c:tx>
          <c:spPr>
            <a:ln w="28575" cap="rnd">
              <a:solidFill>
                <a:srgbClr val="FF66FF"/>
              </a:solidFill>
              <a:round/>
            </a:ln>
            <a:effectLst/>
          </c:spPr>
          <c:marker>
            <c:symbol val="circle"/>
            <c:size val="5"/>
            <c:spPr>
              <a:solidFill>
                <a:srgbClr val="FF66FF"/>
              </a:solidFill>
              <a:ln w="9525">
                <a:solidFill>
                  <a:srgbClr val="FF66FF"/>
                </a:solidFill>
              </a:ln>
              <a:effectLst/>
            </c:spPr>
          </c:marker>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Radiography'!$B$101:$P$101</c:f>
              <c:numCache>
                <c:formatCode>#,##0.0</c:formatCode>
                <c:ptCount val="15"/>
                <c:pt idx="2">
                  <c:v>1826.8387380187028</c:v>
                </c:pt>
                <c:pt idx="3">
                  <c:v>1916.5627398070023</c:v>
                </c:pt>
                <c:pt idx="4">
                  <c:v>2012.0249918573893</c:v>
                </c:pt>
                <c:pt idx="5">
                  <c:v>2113.6129478352846</c:v>
                </c:pt>
                <c:pt idx="6">
                  <c:v>2221.7405470873628</c:v>
                </c:pt>
                <c:pt idx="7">
                  <c:v>2336.8500340137389</c:v>
                </c:pt>
                <c:pt idx="8">
                  <c:v>2459.4139028086856</c:v>
                </c:pt>
                <c:pt idx="9">
                  <c:v>2589.9369762295128</c:v>
                </c:pt>
                <c:pt idx="10">
                  <c:v>2728.9586276525579</c:v>
                </c:pt>
                <c:pt idx="11">
                  <c:v>2877.0551563161212</c:v>
                </c:pt>
                <c:pt idx="12">
                  <c:v>3034.8423263354507</c:v>
                </c:pt>
                <c:pt idx="13">
                  <c:v>3202.978080807723</c:v>
                </c:pt>
                <c:pt idx="14">
                  <c:v>3378.9137162562724</c:v>
                </c:pt>
              </c:numCache>
            </c:numRef>
          </c:val>
          <c:smooth val="0"/>
          <c:extLst xmlns:c15="http://schemas.microsoft.com/office/drawing/2012/chart">
            <c:ext xmlns:c16="http://schemas.microsoft.com/office/drawing/2014/chart" uri="{C3380CC4-5D6E-409C-BE32-E72D297353CC}">
              <c16:uniqueId val="{00000011-73DD-4071-A4B1-03A26E2E5BE7}"/>
            </c:ext>
          </c:extLst>
        </c:ser>
        <c:ser>
          <c:idx val="17"/>
          <c:order val="4"/>
          <c:tx>
            <c:strRef>
              <c:f>'Diagnostic Radiography'!$A$102</c:f>
              <c:strCache>
                <c:ptCount val="1"/>
                <c:pt idx="0">
                  <c:v>Upper Projected Demand - Bands 5, 6 + 7 excl. RR, Sonographers (COVID-adjusted)</c:v>
                </c:pt>
              </c:strCache>
            </c:strRef>
          </c:tx>
          <c:spPr>
            <a:ln w="28575" cap="rnd">
              <a:solidFill>
                <a:srgbClr val="FF66FF"/>
              </a:solidFill>
              <a:round/>
            </a:ln>
            <a:effectLst/>
          </c:spPr>
          <c:marker>
            <c:symbol val="circle"/>
            <c:size val="5"/>
            <c:spPr>
              <a:solidFill>
                <a:srgbClr val="FF66FF"/>
              </a:solidFill>
              <a:ln w="9525">
                <a:solidFill>
                  <a:srgbClr val="FF66FF"/>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Radiography'!$B$102:$P$102</c:f>
              <c:numCache>
                <c:formatCode>#,##0.0</c:formatCode>
                <c:ptCount val="15"/>
                <c:pt idx="2">
                  <c:v>1826.8387380187028</c:v>
                </c:pt>
                <c:pt idx="3">
                  <c:v>1948.1907284942654</c:v>
                </c:pt>
                <c:pt idx="4">
                  <c:v>2080.7355828860764</c:v>
                </c:pt>
                <c:pt idx="5">
                  <c:v>2225.5818586743853</c:v>
                </c:pt>
                <c:pt idx="6">
                  <c:v>2383.9510064393148</c:v>
                </c:pt>
                <c:pt idx="7">
                  <c:v>2557.1890703070985</c:v>
                </c:pt>
                <c:pt idx="8">
                  <c:v>2746.7796164074803</c:v>
                </c:pt>
                <c:pt idx="9">
                  <c:v>2954.3580194416058</c:v>
                </c:pt>
                <c:pt idx="10">
                  <c:v>3181.7272513421804</c:v>
                </c:pt>
                <c:pt idx="11">
                  <c:v>3430.875331379762</c:v>
                </c:pt>
                <c:pt idx="12">
                  <c:v>3703.994614091479</c:v>
                </c:pt>
                <c:pt idx="13">
                  <c:v>4003.5031102590256</c:v>
                </c:pt>
                <c:pt idx="14">
                  <c:v>4328.816330186537</c:v>
                </c:pt>
              </c:numCache>
            </c:numRef>
          </c:val>
          <c:smooth val="0"/>
          <c:extLst xmlns:c15="http://schemas.microsoft.com/office/drawing/2012/chart">
            <c:ext xmlns:c16="http://schemas.microsoft.com/office/drawing/2014/chart" uri="{C3380CC4-5D6E-409C-BE32-E72D297353CC}">
              <c16:uniqueId val="{00000012-73DD-4071-A4B1-03A26E2E5BE7}"/>
            </c:ext>
          </c:extLst>
        </c:ser>
        <c:ser>
          <c:idx val="18"/>
          <c:order val="5"/>
          <c:tx>
            <c:strRef>
              <c:f>'Diagnostic Radiography'!$A$103</c:f>
              <c:strCache>
                <c:ptCount val="1"/>
                <c:pt idx="0">
                  <c:v>Median Demand Projection - Bands 5, 6 + 7 excl. RR, Sonographers</c:v>
                </c:pt>
              </c:strCache>
            </c:strRef>
          </c:tx>
          <c:spPr>
            <a:ln w="25400" cap="sq">
              <a:solidFill>
                <a:schemeClr val="tx1"/>
              </a:solidFill>
              <a:prstDash val="sysDot"/>
              <a:round/>
            </a:ln>
            <a:effectLst/>
          </c:spPr>
          <c:marker>
            <c:symbol val="none"/>
          </c:marker>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Radiography'!$B$103:$P$103</c:f>
              <c:numCache>
                <c:formatCode>#,##0.0</c:formatCode>
                <c:ptCount val="15"/>
                <c:pt idx="5">
                  <c:v>1960.6490278514038</c:v>
                </c:pt>
                <c:pt idx="6">
                  <c:v>2082.4614783783854</c:v>
                </c:pt>
                <c:pt idx="7">
                  <c:v>2214.4484937493662</c:v>
                </c:pt>
                <c:pt idx="8">
                  <c:v>2357.5369929903513</c:v>
                </c:pt>
                <c:pt idx="9">
                  <c:v>2512.7424528027304</c:v>
                </c:pt>
                <c:pt idx="10">
                  <c:v>2681.1776707874756</c:v>
                </c:pt>
                <c:pt idx="11">
                  <c:v>2864.0624192429668</c:v>
                </c:pt>
                <c:pt idx="12">
                  <c:v>3062.7340818571283</c:v>
                </c:pt>
                <c:pt idx="13">
                  <c:v>3278.6593753257339</c:v>
                </c:pt>
                <c:pt idx="14">
                  <c:v>3511.82140524636</c:v>
                </c:pt>
              </c:numCache>
            </c:numRef>
          </c:val>
          <c:smooth val="0"/>
          <c:extLst xmlns:c15="http://schemas.microsoft.com/office/drawing/2012/chart">
            <c:ext xmlns:c16="http://schemas.microsoft.com/office/drawing/2014/chart" uri="{C3380CC4-5D6E-409C-BE32-E72D297353CC}">
              <c16:uniqueId val="{00000013-73DD-4071-A4B1-03A26E2E5BE7}"/>
            </c:ext>
          </c:extLst>
        </c:ser>
        <c:ser>
          <c:idx val="28"/>
          <c:order val="6"/>
          <c:tx>
            <c:strRef>
              <c:f>'Diagnostic Radiography'!$A$113</c:f>
              <c:strCache>
                <c:ptCount val="1"/>
                <c:pt idx="0">
                  <c:v>WTE Establishment -  Bands 5, 6 + 7 (excl. assumed RRs, Sonographers)</c:v>
                </c:pt>
              </c:strCache>
            </c:strRef>
          </c:tx>
          <c:spPr>
            <a:ln w="28575" cap="rnd">
              <a:solidFill>
                <a:srgbClr val="0070C0"/>
              </a:solidFill>
              <a:round/>
            </a:ln>
            <a:effectLst/>
          </c:spPr>
          <c:marker>
            <c:symbol val="diamond"/>
            <c:size val="8"/>
            <c:spPr>
              <a:solidFill>
                <a:srgbClr val="0070C0"/>
              </a:solidFill>
              <a:ln w="9525">
                <a:solidFill>
                  <a:srgbClr val="0070C0"/>
                </a:solidFill>
              </a:ln>
              <a:effectLst/>
            </c:spPr>
          </c:marker>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Radiography'!$B$113:$P$113</c:f>
              <c:numCache>
                <c:formatCode>#,##0.0</c:formatCode>
                <c:ptCount val="1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numCache>
            </c:numRef>
          </c:val>
          <c:smooth val="0"/>
          <c:extLst>
            <c:ext xmlns:c16="http://schemas.microsoft.com/office/drawing/2014/chart" uri="{C3380CC4-5D6E-409C-BE32-E72D297353CC}">
              <c16:uniqueId val="{0000000D-8FEB-408A-A586-AF5D84F0AA11}"/>
            </c:ext>
          </c:extLst>
        </c:ser>
        <c:ser>
          <c:idx val="29"/>
          <c:order val="7"/>
          <c:tx>
            <c:strRef>
              <c:f>'Diagnostic Radiography'!$A$114</c:f>
              <c:strCache>
                <c:ptCount val="1"/>
                <c:pt idx="0">
                  <c:v>WTE Staff In Post - Bands 5, 6 + 7 (excl. assumed RRs, Sonographers)</c:v>
                </c:pt>
              </c:strCache>
            </c:strRef>
          </c:tx>
          <c:spPr>
            <a:ln w="28575" cap="rnd">
              <a:solidFill>
                <a:srgbClr val="00B0F0"/>
              </a:solidFill>
              <a:round/>
            </a:ln>
            <a:effectLst/>
          </c:spPr>
          <c:marker>
            <c:symbol val="triangle"/>
            <c:size val="8"/>
            <c:spPr>
              <a:solidFill>
                <a:srgbClr val="00B0F0"/>
              </a:solidFill>
              <a:ln w="9525">
                <a:solidFill>
                  <a:srgbClr val="00B0F0"/>
                </a:solidFill>
              </a:ln>
              <a:effectLst/>
            </c:spPr>
          </c:marker>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Radiography'!$B$114:$P$114</c:f>
              <c:numCache>
                <c:formatCode>#,##0.0</c:formatCode>
                <c:ptCount val="15"/>
                <c:pt idx="0">
                  <c:v>1342.9458580084279</c:v>
                </c:pt>
                <c:pt idx="1">
                  <c:v>1373.2322759852709</c:v>
                </c:pt>
                <c:pt idx="2">
                  <c:v>1406.8841879773902</c:v>
                </c:pt>
                <c:pt idx="3">
                  <c:v>1426.573808723389</c:v>
                </c:pt>
                <c:pt idx="4">
                  <c:v>1466.4163405233408</c:v>
                </c:pt>
                <c:pt idx="5">
                  <c:v>#N/A</c:v>
                </c:pt>
                <c:pt idx="6">
                  <c:v>#N/A</c:v>
                </c:pt>
                <c:pt idx="7">
                  <c:v>#N/A</c:v>
                </c:pt>
                <c:pt idx="8">
                  <c:v>#N/A</c:v>
                </c:pt>
                <c:pt idx="9">
                  <c:v>#N/A</c:v>
                </c:pt>
                <c:pt idx="10">
                  <c:v>#N/A</c:v>
                </c:pt>
                <c:pt idx="11">
                  <c:v>#N/A</c:v>
                </c:pt>
                <c:pt idx="12">
                  <c:v>#N/A</c:v>
                </c:pt>
                <c:pt idx="13">
                  <c:v>#N/A</c:v>
                </c:pt>
                <c:pt idx="14">
                  <c:v>#N/A</c:v>
                </c:pt>
              </c:numCache>
            </c:numRef>
          </c:val>
          <c:smooth val="0"/>
          <c:extLst>
            <c:ext xmlns:c16="http://schemas.microsoft.com/office/drawing/2014/chart" uri="{C3380CC4-5D6E-409C-BE32-E72D297353CC}">
              <c16:uniqueId val="{0000000E-8FEB-408A-A586-AF5D84F0AA11}"/>
            </c:ext>
          </c:extLst>
        </c:ser>
        <c:ser>
          <c:idx val="30"/>
          <c:order val="8"/>
          <c:tx>
            <c:strRef>
              <c:f>'Diagnostic Radiography'!$A$115</c:f>
              <c:strCache>
                <c:ptCount val="1"/>
                <c:pt idx="0">
                  <c:v>WTE Staff Employment Forecast - Bands 5, 6 + 7 (excl. RR, Sonographers)</c:v>
                </c:pt>
              </c:strCache>
            </c:strRef>
          </c:tx>
          <c:spPr>
            <a:ln w="28575" cap="sq">
              <a:solidFill>
                <a:srgbClr val="00B0F0"/>
              </a:solidFill>
              <a:prstDash val="sysDot"/>
              <a:round/>
            </a:ln>
            <a:effectLst/>
          </c:spPr>
          <c:marker>
            <c:symbol val="triangle"/>
            <c:size val="8"/>
            <c:spPr>
              <a:solidFill>
                <a:srgbClr val="00B0F0"/>
              </a:solidFill>
              <a:ln w="9525">
                <a:solidFill>
                  <a:srgbClr val="00B0F0"/>
                </a:solidFill>
              </a:ln>
              <a:effectLst/>
            </c:spPr>
          </c:marker>
          <c:cat>
            <c:strRef>
              <c:f>'Diagnostic Radiography'!$B$84:$P$84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Radiography'!$B$115:$P$115</c:f>
              <c:numCache>
                <c:formatCode>#,##0.0</c:formatCode>
                <c:ptCount val="15"/>
                <c:pt idx="0">
                  <c:v>#N/A</c:v>
                </c:pt>
                <c:pt idx="1">
                  <c:v>#N/A</c:v>
                </c:pt>
                <c:pt idx="2">
                  <c:v>#N/A</c:v>
                </c:pt>
                <c:pt idx="3">
                  <c:v>#N/A</c:v>
                </c:pt>
                <c:pt idx="4">
                  <c:v>#N/A</c:v>
                </c:pt>
                <c:pt idx="5">
                  <c:v>1478.0820948711294</c:v>
                </c:pt>
                <c:pt idx="6">
                  <c:v>1496.3890619837841</c:v>
                </c:pt>
                <c:pt idx="7">
                  <c:v>1521.633727593749</c:v>
                </c:pt>
                <c:pt idx="8">
                  <c:v>1549.1350029638465</c:v>
                </c:pt>
                <c:pt idx="9">
                  <c:v>1577.8881612367034</c:v>
                </c:pt>
                <c:pt idx="10">
                  <c:v>1606.7567003871222</c:v>
                </c:pt>
                <c:pt idx="11">
                  <c:v>1634.1140121131234</c:v>
                </c:pt>
                <c:pt idx="12">
                  <c:v>1660.7441248013085</c:v>
                </c:pt>
                <c:pt idx="13">
                  <c:v>1687.7712317306839</c:v>
                </c:pt>
                <c:pt idx="14">
                  <c:v>1715.6566200061638</c:v>
                </c:pt>
              </c:numCache>
            </c:numRef>
          </c:val>
          <c:smooth val="0"/>
          <c:extLst>
            <c:ext xmlns:c16="http://schemas.microsoft.com/office/drawing/2014/chart" uri="{C3380CC4-5D6E-409C-BE32-E72D297353CC}">
              <c16:uniqueId val="{0000000F-8FEB-408A-A586-AF5D84F0AA11}"/>
            </c:ext>
          </c:extLst>
        </c:ser>
        <c:dLbls>
          <c:showLegendKey val="0"/>
          <c:showVal val="0"/>
          <c:showCatName val="0"/>
          <c:showSerName val="0"/>
          <c:showPercent val="0"/>
          <c:showBubbleSize val="0"/>
        </c:dLbls>
        <c:marker val="1"/>
        <c:smooth val="0"/>
        <c:axId val="956153711"/>
        <c:axId val="956162031"/>
        <c:extLst/>
      </c:lineChart>
      <c:catAx>
        <c:axId val="95615371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956162031"/>
        <c:crosses val="autoZero"/>
        <c:auto val="1"/>
        <c:lblAlgn val="ctr"/>
        <c:lblOffset val="100"/>
        <c:noMultiLvlLbl val="0"/>
      </c:catAx>
      <c:valAx>
        <c:axId val="95616203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95615371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b="1">
                <a:solidFill>
                  <a:schemeClr val="tx1"/>
                </a:solidFill>
                <a:latin typeface="Arial" panose="020B0604020202020204" pitchFamily="34" charset="0"/>
                <a:cs typeface="Arial" panose="020B0604020202020204" pitchFamily="34" charset="0"/>
              </a:rPr>
              <a:t>WTE Bands</a:t>
            </a:r>
            <a:r>
              <a:rPr lang="en-GB" sz="1200" b="1" baseline="0">
                <a:solidFill>
                  <a:schemeClr val="tx1"/>
                </a:solidFill>
                <a:latin typeface="Arial" panose="020B0604020202020204" pitchFamily="34" charset="0"/>
                <a:cs typeface="Arial" panose="020B0604020202020204" pitchFamily="34" charset="0"/>
              </a:rPr>
              <a:t> 2-4 </a:t>
            </a:r>
            <a:r>
              <a:rPr lang="en-GB" sz="900" b="0">
                <a:solidFill>
                  <a:schemeClr val="tx1"/>
                </a:solidFill>
                <a:latin typeface="Arial" panose="020B0604020202020204" pitchFamily="34" charset="0"/>
                <a:cs typeface="Arial" panose="020B0604020202020204" pitchFamily="34" charset="0"/>
              </a:rPr>
              <a:t>(Support Workforce)</a:t>
            </a:r>
            <a:endParaRPr lang="en-GB" sz="1200" b="1">
              <a:solidFill>
                <a:schemeClr val="tx1"/>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2"/>
          <c:tx>
            <c:strRef>
              <c:f>'Diagnostic Radiography'!$A$67</c:f>
              <c:strCache>
                <c:ptCount val="1"/>
                <c:pt idx="0">
                  <c:v>Activity Performed - Bands 2-4 (Actual Exam Requests)</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0-FA33-4C53-ADC4-89717EE730CD}"/>
                </c:ext>
              </c:extLst>
            </c:dLbl>
            <c:dLbl>
              <c:idx val="1"/>
              <c:delete val="1"/>
              <c:extLst>
                <c:ext xmlns:c15="http://schemas.microsoft.com/office/drawing/2012/chart" uri="{CE6537A1-D6FC-4f65-9D91-7224C49458BB}"/>
                <c:ext xmlns:c16="http://schemas.microsoft.com/office/drawing/2014/chart" uri="{C3380CC4-5D6E-409C-BE32-E72D297353CC}">
                  <c16:uniqueId val="{00000001-FA33-4C53-ADC4-89717EE730CD}"/>
                </c:ext>
              </c:extLst>
            </c:dLbl>
            <c:dLbl>
              <c:idx val="2"/>
              <c:delete val="1"/>
              <c:extLst>
                <c:ext xmlns:c15="http://schemas.microsoft.com/office/drawing/2012/chart" uri="{CE6537A1-D6FC-4f65-9D91-7224C49458BB}"/>
                <c:ext xmlns:c16="http://schemas.microsoft.com/office/drawing/2014/chart" uri="{C3380CC4-5D6E-409C-BE32-E72D297353CC}">
                  <c16:uniqueId val="{00000002-FA33-4C53-ADC4-89717EE730CD}"/>
                </c:ext>
              </c:extLst>
            </c:dLbl>
            <c:dLbl>
              <c:idx val="3"/>
              <c:delete val="1"/>
              <c:extLst>
                <c:ext xmlns:c15="http://schemas.microsoft.com/office/drawing/2012/chart" uri="{CE6537A1-D6FC-4f65-9D91-7224C49458BB}"/>
                <c:ext xmlns:c16="http://schemas.microsoft.com/office/drawing/2014/chart" uri="{C3380CC4-5D6E-409C-BE32-E72D297353CC}">
                  <c16:uniqueId val="{00000003-FA33-4C53-ADC4-89717EE730C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'Diagnostic Radiography'!$B$64:$P$64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Radiography'!$B$67:$P$67</c:f>
              <c:numCache>
                <c:formatCode>#,##0.0</c:formatCode>
                <c:ptCount val="15"/>
                <c:pt idx="0">
                  <c:v>609.79212624138245</c:v>
                </c:pt>
                <c:pt idx="1">
                  <c:v>619.29139610477444</c:v>
                </c:pt>
                <c:pt idx="2">
                  <c:v>620.93805336012394</c:v>
                </c:pt>
                <c:pt idx="3">
                  <c:v>491.12426818922916</c:v>
                </c:pt>
                <c:pt idx="4">
                  <c:v>547.91220983458743</c:v>
                </c:pt>
              </c:numCache>
            </c:numRef>
          </c:val>
          <c:smooth val="0"/>
          <c:extLst xmlns:c15="http://schemas.microsoft.com/office/drawing/2012/chart">
            <c:ext xmlns:c16="http://schemas.microsoft.com/office/drawing/2014/chart" uri="{C3380CC4-5D6E-409C-BE32-E72D297353CC}">
              <c16:uniqueId val="{00000008-08B8-40F7-BBD3-759293FD87A3}"/>
            </c:ext>
          </c:extLst>
        </c:ser>
        <c:ser>
          <c:idx val="9"/>
          <c:order val="9"/>
          <c:tx>
            <c:strRef>
              <c:f>'Diagnostic Radiography'!$A$74</c:f>
              <c:strCache>
                <c:ptCount val="1"/>
                <c:pt idx="0">
                  <c:v>Lower Projected Demand - Bands 2-4 (No COVID adjustment)</c:v>
                </c:pt>
              </c:strCache>
            </c:strRef>
          </c:tx>
          <c:spPr>
            <a:ln w="28575" cap="rnd">
              <a:solidFill>
                <a:srgbClr val="66FF33"/>
              </a:solidFill>
              <a:round/>
            </a:ln>
            <a:effectLst/>
          </c:spPr>
          <c:marker>
            <c:symbol val="circle"/>
            <c:size val="5"/>
            <c:spPr>
              <a:solidFill>
                <a:srgbClr val="66FF33"/>
              </a:solidFill>
              <a:ln w="9525">
                <a:solidFill>
                  <a:srgbClr val="66FF3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'Diagnostic Radiography'!$B$64:$P$64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Radiography'!$B$74:$P$74</c:f>
              <c:numCache>
                <c:formatCode>#,##0.0</c:formatCode>
                <c:ptCount val="15"/>
                <c:pt idx="4">
                  <c:v>547.91220983458743</c:v>
                </c:pt>
                <c:pt idx="5">
                  <c:v>573.78104629052928</c:v>
                </c:pt>
                <c:pt idx="6">
                  <c:v>601.17435098435396</c:v>
                </c:pt>
                <c:pt idx="7">
                  <c:v>630.18895377341528</c:v>
                </c:pt>
                <c:pt idx="8">
                  <c:v>660.9280494345893</c:v>
                </c:pt>
                <c:pt idx="9">
                  <c:v>693.50162448940421</c:v>
                </c:pt>
                <c:pt idx="10">
                  <c:v>728.02691301540438</c:v>
                </c:pt>
                <c:pt idx="11">
                  <c:v>764.62888342844326</c:v>
                </c:pt>
                <c:pt idx="12">
                  <c:v>803.44075835723936</c:v>
                </c:pt>
                <c:pt idx="13">
                  <c:v>844.60456987759915</c:v>
                </c:pt>
                <c:pt idx="14">
                  <c:v>888.27175252988343</c:v>
                </c:pt>
              </c:numCache>
            </c:numRef>
          </c:val>
          <c:smooth val="0"/>
          <c:extLst xmlns:c15="http://schemas.microsoft.com/office/drawing/2012/chart">
            <c:ext xmlns:c16="http://schemas.microsoft.com/office/drawing/2014/chart" uri="{C3380CC4-5D6E-409C-BE32-E72D297353CC}">
              <c16:uniqueId val="{0000000E-08B8-40F7-BBD3-759293FD87A3}"/>
            </c:ext>
          </c:extLst>
        </c:ser>
        <c:ser>
          <c:idx val="10"/>
          <c:order val="10"/>
          <c:tx>
            <c:strRef>
              <c:f>'Diagnostic Radiography'!$A$75</c:f>
              <c:strCache>
                <c:ptCount val="1"/>
                <c:pt idx="0">
                  <c:v>Upper Projected Demand - Bands 2-4 (No COVID adjustment)</c:v>
                </c:pt>
              </c:strCache>
            </c:strRef>
          </c:tx>
          <c:spPr>
            <a:ln w="28575" cap="rnd">
              <a:solidFill>
                <a:srgbClr val="66FF33"/>
              </a:solidFill>
              <a:round/>
            </a:ln>
            <a:effectLst/>
          </c:spPr>
          <c:marker>
            <c:symbol val="circle"/>
            <c:size val="5"/>
            <c:spPr>
              <a:solidFill>
                <a:srgbClr val="66FF33"/>
              </a:solidFill>
              <a:ln w="9525">
                <a:solidFill>
                  <a:srgbClr val="66FF33"/>
                </a:solidFill>
              </a:ln>
              <a:effectLst/>
            </c:spPr>
          </c:marker>
          <c:cat>
            <c:strRef>
              <c:f>'Diagnostic Radiography'!$B$64:$P$64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Radiography'!$B$75:$P$75</c:f>
              <c:numCache>
                <c:formatCode>#,##0.0</c:formatCode>
                <c:ptCount val="15"/>
                <c:pt idx="4">
                  <c:v>547.91220983458743</c:v>
                </c:pt>
                <c:pt idx="5">
                  <c:v>583.40403338326837</c:v>
                </c:pt>
                <c:pt idx="6">
                  <c:v>621.87296785669707</c:v>
                </c:pt>
                <c:pt idx="7">
                  <c:v>663.59142020488844</c:v>
                </c:pt>
                <c:pt idx="8">
                  <c:v>708.85800829072389</c:v>
                </c:pt>
                <c:pt idx="9">
                  <c:v>758.00017343589934</c:v>
                </c:pt>
                <c:pt idx="10">
                  <c:v>811.37705996972682</c:v>
                </c:pt>
                <c:pt idx="11">
                  <c:v>869.382689555556</c:v>
                </c:pt>
                <c:pt idx="12">
                  <c:v>932.44946099551339</c:v>
                </c:pt>
                <c:pt idx="13">
                  <c:v>1001.0520094512468</c:v>
                </c:pt>
                <c:pt idx="14">
                  <c:v>1075.7114625997401</c:v>
                </c:pt>
              </c:numCache>
            </c:numRef>
          </c:val>
          <c:smooth val="0"/>
          <c:extLst xmlns:c15="http://schemas.microsoft.com/office/drawing/2012/chart">
            <c:ext xmlns:c16="http://schemas.microsoft.com/office/drawing/2014/chart" uri="{C3380CC4-5D6E-409C-BE32-E72D297353CC}">
              <c16:uniqueId val="{0000000F-08B8-40F7-BBD3-759293FD87A3}"/>
            </c:ext>
          </c:extLst>
        </c:ser>
        <c:ser>
          <c:idx val="11"/>
          <c:order val="11"/>
          <c:tx>
            <c:strRef>
              <c:f>'Diagnostic Radiography'!$A$76</c:f>
              <c:strCache>
                <c:ptCount val="1"/>
                <c:pt idx="0">
                  <c:v>Lower Projected Demand - Bands 2-4 (COVID-adjusted)</c:v>
                </c:pt>
              </c:strCache>
            </c:strRef>
          </c:tx>
          <c:spPr>
            <a:ln w="28575" cap="rnd">
              <a:solidFill>
                <a:srgbClr val="FF66FF"/>
              </a:solidFill>
              <a:round/>
            </a:ln>
            <a:effectLst/>
          </c:spPr>
          <c:marker>
            <c:symbol val="circle"/>
            <c:size val="5"/>
            <c:spPr>
              <a:solidFill>
                <a:srgbClr val="FF66FF"/>
              </a:solidFill>
              <a:ln w="9525">
                <a:solidFill>
                  <a:srgbClr val="FF66FF"/>
                </a:solidFill>
              </a:ln>
              <a:effectLst/>
            </c:spPr>
          </c:marker>
          <c:cat>
            <c:strRef>
              <c:f>'Diagnostic Radiography'!$B$64:$P$64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Radiography'!$B$76:$P$76</c:f>
              <c:numCache>
                <c:formatCode>#,##0.0</c:formatCode>
                <c:ptCount val="15"/>
                <c:pt idx="2">
                  <c:v>631.63606743472019</c:v>
                </c:pt>
                <c:pt idx="3">
                  <c:v>661.14948590414622</c:v>
                </c:pt>
                <c:pt idx="4">
                  <c:v>692.38916596344029</c:v>
                </c:pt>
                <c:pt idx="5">
                  <c:v>725.4642424193861</c:v>
                </c:pt>
                <c:pt idx="6">
                  <c:v>760.49100420738603</c:v>
                </c:pt>
                <c:pt idx="7">
                  <c:v>797.59337343625202</c:v>
                </c:pt>
                <c:pt idx="8">
                  <c:v>836.90341694342806</c:v>
                </c:pt>
                <c:pt idx="9">
                  <c:v>878.56189258616689</c:v>
                </c:pt>
                <c:pt idx="10">
                  <c:v>922.7188326473871</c:v>
                </c:pt>
                <c:pt idx="11">
                  <c:v>969.53416689876008</c:v>
                </c:pt>
                <c:pt idx="12">
                  <c:v>1019.1783880386906</c:v>
                </c:pt>
                <c:pt idx="13">
                  <c:v>1071.8332624101031</c:v>
                </c:pt>
                <c:pt idx="14">
                  <c:v>1127.6925891031183</c:v>
                </c:pt>
              </c:numCache>
            </c:numRef>
          </c:val>
          <c:smooth val="0"/>
          <c:extLst xmlns:c15="http://schemas.microsoft.com/office/drawing/2012/chart">
            <c:ext xmlns:c16="http://schemas.microsoft.com/office/drawing/2014/chart" uri="{C3380CC4-5D6E-409C-BE32-E72D297353CC}">
              <c16:uniqueId val="{00000010-08B8-40F7-BBD3-759293FD87A3}"/>
            </c:ext>
          </c:extLst>
        </c:ser>
        <c:ser>
          <c:idx val="12"/>
          <c:order val="12"/>
          <c:tx>
            <c:strRef>
              <c:f>'Diagnostic Radiography'!$A$77</c:f>
              <c:strCache>
                <c:ptCount val="1"/>
                <c:pt idx="0">
                  <c:v>Upper Projected Demand - Bands 2-4 (COVID-adjusted)</c:v>
                </c:pt>
              </c:strCache>
            </c:strRef>
          </c:tx>
          <c:spPr>
            <a:ln w="28575" cap="rnd">
              <a:solidFill>
                <a:srgbClr val="FF66FF"/>
              </a:solidFill>
              <a:round/>
            </a:ln>
            <a:effectLst/>
          </c:spPr>
          <c:marker>
            <c:symbol val="circle"/>
            <c:size val="5"/>
            <c:spPr>
              <a:solidFill>
                <a:srgbClr val="FF66FF"/>
              </a:solidFill>
              <a:ln w="9525">
                <a:solidFill>
                  <a:srgbClr val="FF66FF"/>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'Diagnostic Radiography'!$B$64:$P$64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Radiography'!$B$77:$P$77</c:f>
              <c:numCache>
                <c:formatCode>#,##0.0</c:formatCode>
                <c:ptCount val="15"/>
                <c:pt idx="2">
                  <c:v>631.63606743472019</c:v>
                </c:pt>
                <c:pt idx="3">
                  <c:v>672.55097090167465</c:v>
                </c:pt>
                <c:pt idx="4">
                  <c:v>716.91396333780176</c:v>
                </c:pt>
                <c:pt idx="5">
                  <c:v>765.04284380561444</c:v>
                </c:pt>
                <c:pt idx="6">
                  <c:v>817.28625083303666</c:v>
                </c:pt>
                <c:pt idx="7">
                  <c:v>874.02676325383982</c:v>
                </c:pt>
                <c:pt idx="8">
                  <c:v>935.68432059708084</c:v>
                </c:pt>
                <c:pt idx="9">
                  <c:v>1002.719996517945</c:v>
                </c:pt>
                <c:pt idx="10">
                  <c:v>1075.6401623141865</c:v>
                </c:pt>
                <c:pt idx="11">
                  <c:v>1155.0010815039475</c:v>
                </c:pt>
                <c:pt idx="12">
                  <c:v>1241.4139807929819</c:v>
                </c:pt>
                <c:pt idx="13">
                  <c:v>1335.5506475774669</c:v>
                </c:pt>
                <c:pt idx="14">
                  <c:v>1438.1496094628553</c:v>
                </c:pt>
              </c:numCache>
            </c:numRef>
          </c:val>
          <c:smooth val="0"/>
          <c:extLst xmlns:c15="http://schemas.microsoft.com/office/drawing/2012/chart">
            <c:ext xmlns:c16="http://schemas.microsoft.com/office/drawing/2014/chart" uri="{C3380CC4-5D6E-409C-BE32-E72D297353CC}">
              <c16:uniqueId val="{00000011-08B8-40F7-BBD3-759293FD87A3}"/>
            </c:ext>
          </c:extLst>
        </c:ser>
        <c:ser>
          <c:idx val="13"/>
          <c:order val="13"/>
          <c:tx>
            <c:strRef>
              <c:f>'Diagnostic Radiography'!$A$78</c:f>
              <c:strCache>
                <c:ptCount val="1"/>
                <c:pt idx="0">
                  <c:v>WTE Establishment - All Support  (As at 30/09)</c:v>
                </c:pt>
              </c:strCache>
            </c:strRef>
          </c:tx>
          <c:spPr>
            <a:ln w="28575" cap="rnd">
              <a:solidFill>
                <a:srgbClr val="0070C0"/>
              </a:solidFill>
              <a:round/>
            </a:ln>
            <a:effectLst/>
          </c:spPr>
          <c:marker>
            <c:symbol val="diamond"/>
            <c:size val="5"/>
            <c:spPr>
              <a:solidFill>
                <a:srgbClr val="0070C0"/>
              </a:solidFill>
              <a:ln w="9525">
                <a:solidFill>
                  <a:srgbClr val="0070C0"/>
                </a:solidFill>
              </a:ln>
              <a:effectLst/>
            </c:spPr>
          </c:marker>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A33-4C53-ADC4-89717EE730C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'Diagnostic Radiography'!$B$64:$P$64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Radiography'!$B$78:$P$78</c:f>
              <c:numCache>
                <c:formatCode>#,##0.0</c:formatCode>
                <c:ptCount val="15"/>
                <c:pt idx="0">
                  <c:v>440.50200000000007</c:v>
                </c:pt>
                <c:pt idx="1">
                  <c:v>441.28700000000009</c:v>
                </c:pt>
                <c:pt idx="2">
                  <c:v>455.94099999999997</c:v>
                </c:pt>
                <c:pt idx="3">
                  <c:v>458.34</c:v>
                </c:pt>
                <c:pt idx="4">
                  <c:v>478.16499999999996</c:v>
                </c:pt>
                <c:pt idx="5">
                  <c:v>#N/A</c:v>
                </c:pt>
                <c:pt idx="6">
                  <c:v>#N/A</c:v>
                </c:pt>
                <c:pt idx="7">
                  <c:v>#N/A</c:v>
                </c:pt>
                <c:pt idx="8">
                  <c:v>#N/A</c:v>
                </c:pt>
                <c:pt idx="9">
                  <c:v>#N/A</c:v>
                </c:pt>
                <c:pt idx="10">
                  <c:v>#N/A</c:v>
                </c:pt>
                <c:pt idx="11">
                  <c:v>#N/A</c:v>
                </c:pt>
                <c:pt idx="12">
                  <c:v>#N/A</c:v>
                </c:pt>
                <c:pt idx="13">
                  <c:v>#N/A</c:v>
                </c:pt>
                <c:pt idx="14">
                  <c:v>#N/A</c:v>
                </c:pt>
              </c:numCache>
            </c:numRef>
          </c:val>
          <c:smooth val="0"/>
          <c:extLst xmlns:c15="http://schemas.microsoft.com/office/drawing/2012/chart">
            <c:ext xmlns:c16="http://schemas.microsoft.com/office/drawing/2014/chart" uri="{C3380CC4-5D6E-409C-BE32-E72D297353CC}">
              <c16:uniqueId val="{00000012-08B8-40F7-BBD3-759293FD87A3}"/>
            </c:ext>
          </c:extLst>
        </c:ser>
        <c:ser>
          <c:idx val="14"/>
          <c:order val="14"/>
          <c:tx>
            <c:strRef>
              <c:f>'Diagnostic Radiography'!$A$79</c:f>
              <c:strCache>
                <c:ptCount val="1"/>
                <c:pt idx="0">
                  <c:v>WTE Staff In Post - All Support (As at 30/09)</c:v>
                </c:pt>
              </c:strCache>
            </c:strRef>
          </c:tx>
          <c:spPr>
            <a:ln w="28575" cap="rnd">
              <a:solidFill>
                <a:srgbClr val="00B0F0"/>
              </a:solidFill>
              <a:round/>
            </a:ln>
            <a:effectLst/>
          </c:spPr>
          <c:marker>
            <c:symbol val="triangle"/>
            <c:size val="5"/>
            <c:spPr>
              <a:solidFill>
                <a:srgbClr val="00B0F0"/>
              </a:solidFill>
              <a:ln w="9525">
                <a:solidFill>
                  <a:srgbClr val="00B0F0"/>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5-FA33-4C53-ADC4-89717EE730CD}"/>
                </c:ext>
              </c:extLst>
            </c:dLbl>
            <c:dLbl>
              <c:idx val="1"/>
              <c:delete val="1"/>
              <c:extLst>
                <c:ext xmlns:c15="http://schemas.microsoft.com/office/drawing/2012/chart" uri="{CE6537A1-D6FC-4f65-9D91-7224C49458BB}"/>
                <c:ext xmlns:c16="http://schemas.microsoft.com/office/drawing/2014/chart" uri="{C3380CC4-5D6E-409C-BE32-E72D297353CC}">
                  <c16:uniqueId val="{00000006-FA33-4C53-ADC4-89717EE730CD}"/>
                </c:ext>
              </c:extLst>
            </c:dLbl>
            <c:dLbl>
              <c:idx val="2"/>
              <c:delete val="1"/>
              <c:extLst>
                <c:ext xmlns:c15="http://schemas.microsoft.com/office/drawing/2012/chart" uri="{CE6537A1-D6FC-4f65-9D91-7224C49458BB}"/>
                <c:ext xmlns:c16="http://schemas.microsoft.com/office/drawing/2014/chart" uri="{C3380CC4-5D6E-409C-BE32-E72D297353CC}">
                  <c16:uniqueId val="{00000007-FA33-4C53-ADC4-89717EE730CD}"/>
                </c:ext>
              </c:extLst>
            </c:dLbl>
            <c:dLbl>
              <c:idx val="3"/>
              <c:delete val="1"/>
              <c:extLst>
                <c:ext xmlns:c15="http://schemas.microsoft.com/office/drawing/2012/chart" uri="{CE6537A1-D6FC-4f65-9D91-7224C49458BB}"/>
                <c:ext xmlns:c16="http://schemas.microsoft.com/office/drawing/2014/chart" uri="{C3380CC4-5D6E-409C-BE32-E72D297353CC}">
                  <c16:uniqueId val="{00000008-FA33-4C53-ADC4-89717EE730CD}"/>
                </c:ext>
              </c:extLst>
            </c:dLbl>
            <c:dLbl>
              <c:idx val="4"/>
              <c:layout>
                <c:manualLayout>
                  <c:x val="0"/>
                  <c:y val="2.1166666666666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A33-4C53-ADC4-89717EE730C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'Diagnostic Radiography'!$B$64:$P$64</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'Diagnostic Radiography'!$B$79:$P$79</c:f>
              <c:numCache>
                <c:formatCode>#,##0.0</c:formatCode>
                <c:ptCount val="15"/>
                <c:pt idx="0">
                  <c:v>432</c:v>
                </c:pt>
                <c:pt idx="1">
                  <c:v>427.2</c:v>
                </c:pt>
                <c:pt idx="2">
                  <c:v>440.90000000000003</c:v>
                </c:pt>
                <c:pt idx="3">
                  <c:v>448.7</c:v>
                </c:pt>
                <c:pt idx="4">
                  <c:v>468.2</c:v>
                </c:pt>
                <c:pt idx="5">
                  <c:v>#N/A</c:v>
                </c:pt>
                <c:pt idx="6">
                  <c:v>#N/A</c:v>
                </c:pt>
                <c:pt idx="7">
                  <c:v>#N/A</c:v>
                </c:pt>
                <c:pt idx="8">
                  <c:v>#N/A</c:v>
                </c:pt>
                <c:pt idx="9">
                  <c:v>#N/A</c:v>
                </c:pt>
                <c:pt idx="10">
                  <c:v>#N/A</c:v>
                </c:pt>
                <c:pt idx="11">
                  <c:v>#N/A</c:v>
                </c:pt>
                <c:pt idx="12">
                  <c:v>#N/A</c:v>
                </c:pt>
                <c:pt idx="13">
                  <c:v>#N/A</c:v>
                </c:pt>
                <c:pt idx="14">
                  <c:v>#N/A</c:v>
                </c:pt>
              </c:numCache>
            </c:numRef>
          </c:val>
          <c:smooth val="0"/>
          <c:extLst xmlns:c15="http://schemas.microsoft.com/office/drawing/2012/chart">
            <c:ext xmlns:c16="http://schemas.microsoft.com/office/drawing/2014/chart" uri="{C3380CC4-5D6E-409C-BE32-E72D297353CC}">
              <c16:uniqueId val="{00000013-08B8-40F7-BBD3-759293FD87A3}"/>
            </c:ext>
          </c:extLst>
        </c:ser>
        <c:dLbls>
          <c:showLegendKey val="0"/>
          <c:showVal val="0"/>
          <c:showCatName val="0"/>
          <c:showSerName val="0"/>
          <c:showPercent val="0"/>
          <c:showBubbleSize val="0"/>
        </c:dLbls>
        <c:marker val="1"/>
        <c:smooth val="0"/>
        <c:axId val="956153711"/>
        <c:axId val="956162031"/>
        <c:extLst>
          <c:ext xmlns:c15="http://schemas.microsoft.com/office/drawing/2012/chart" uri="{02D57815-91ED-43cb-92C2-25804820EDAC}">
            <c15:filteredLineSeries>
              <c15:ser>
                <c:idx val="0"/>
                <c:order val="0"/>
                <c:tx>
                  <c:strRef>
                    <c:extLst>
                      <c:ext uri="{02D57815-91ED-43cb-92C2-25804820EDAC}">
                        <c15:formulaRef>
                          <c15:sqref>'Diagnostic Radiography'!$A$65</c15:sqref>
                        </c15:formulaRef>
                      </c:ext>
                    </c:extLst>
                    <c:strCache>
                      <c:ptCount val="1"/>
                      <c:pt idx="0">
                        <c:v>Activity Performed - Bands 2/3 (Actual Exam Requests)</c:v>
                      </c:pt>
                    </c:strCache>
                  </c:strRef>
                </c:tx>
                <c:spPr>
                  <a:ln w="28575" cap="rnd">
                    <a:solidFill>
                      <a:schemeClr val="accent1"/>
                    </a:solidFill>
                    <a:round/>
                  </a:ln>
                  <a:effectLst/>
                </c:spPr>
                <c:marker>
                  <c:symbol val="circle"/>
                  <c:size val="5"/>
                  <c:spPr>
                    <a:solidFill>
                      <a:schemeClr val="tx1"/>
                    </a:solidFill>
                    <a:ln w="9525">
                      <a:solidFill>
                        <a:schemeClr val="tx1"/>
                      </a:solidFill>
                    </a:ln>
                    <a:effectLst/>
                  </c:spPr>
                </c:marker>
                <c:cat>
                  <c:strRef>
                    <c:extLst>
                      <c:ext uri="{02D57815-91ED-43cb-92C2-25804820EDAC}">
                        <c15:formulaRef>
                          <c15:sqref>'Diagnostic Radiography'!$B$64:$P$64</c15:sqref>
                        </c15:formulaRef>
                      </c:ext>
                    </c:extLst>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extLst>
                      <c:ext uri="{02D57815-91ED-43cb-92C2-25804820EDAC}">
                        <c15:formulaRef>
                          <c15:sqref>'Diagnostic Radiography'!$B$65:$P$65</c15:sqref>
                        </c15:formulaRef>
                      </c:ext>
                    </c:extLst>
                    <c:numCache>
                      <c:formatCode>#,##0.0</c:formatCode>
                      <c:ptCount val="15"/>
                      <c:pt idx="0">
                        <c:v>482.46450581049407</c:v>
                      </c:pt>
                      <c:pt idx="1">
                        <c:v>491.3819310841983</c:v>
                      </c:pt>
                      <c:pt idx="2">
                        <c:v>495.89093643928152</c:v>
                      </c:pt>
                      <c:pt idx="3">
                        <c:v>400.13654608804302</c:v>
                      </c:pt>
                      <c:pt idx="4">
                        <c:v>438.05495493262663</c:v>
                      </c:pt>
                    </c:numCache>
                  </c:numRef>
                </c:val>
                <c:smooth val="0"/>
                <c:extLst>
                  <c:ext xmlns:c16="http://schemas.microsoft.com/office/drawing/2014/chart" uri="{C3380CC4-5D6E-409C-BE32-E72D297353CC}">
                    <c16:uniqueId val="{00000006-08B8-40F7-BBD3-759293FD87A3}"/>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'Diagnostic Radiography'!$A$66</c15:sqref>
                        </c15:formulaRef>
                      </c:ext>
                    </c:extLst>
                    <c:strCache>
                      <c:ptCount val="1"/>
                      <c:pt idx="0">
                        <c:v>Activity Performed - Band 4 (Actual Exam Requests)</c:v>
                      </c:pt>
                    </c:strCache>
                  </c:strRef>
                </c:tx>
                <c:spPr>
                  <a:ln w="28575" cap="rnd">
                    <a:solidFill>
                      <a:schemeClr val="accent2"/>
                    </a:solidFill>
                    <a:round/>
                  </a:ln>
                  <a:effectLst/>
                </c:spPr>
                <c:marker>
                  <c:symbol val="circle"/>
                  <c:size val="5"/>
                  <c:spPr>
                    <a:solidFill>
                      <a:schemeClr val="tx1"/>
                    </a:solidFill>
                    <a:ln w="9525">
                      <a:solidFill>
                        <a:schemeClr val="tx1"/>
                      </a:solidFill>
                    </a:ln>
                    <a:effectLst/>
                  </c:spPr>
                </c:marker>
                <c:cat>
                  <c:strRef>
                    <c:extLst xmlns:c15="http://schemas.microsoft.com/office/drawing/2012/chart">
                      <c:ext xmlns:c15="http://schemas.microsoft.com/office/drawing/2012/chart" uri="{02D57815-91ED-43cb-92C2-25804820EDAC}">
                        <c15:formulaRef>
                          <c15:sqref>'Diagnostic Radiography'!$B$64:$P$64</c15:sqref>
                        </c15:formulaRef>
                      </c:ext>
                    </c:extLst>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extLst xmlns:c15="http://schemas.microsoft.com/office/drawing/2012/chart">
                      <c:ext xmlns:c15="http://schemas.microsoft.com/office/drawing/2012/chart" uri="{02D57815-91ED-43cb-92C2-25804820EDAC}">
                        <c15:formulaRef>
                          <c15:sqref>'Diagnostic Radiography'!$B$66:$P$66</c15:sqref>
                        </c15:formulaRef>
                      </c:ext>
                    </c:extLst>
                    <c:numCache>
                      <c:formatCode>#,##0.0</c:formatCode>
                      <c:ptCount val="15"/>
                      <c:pt idx="0">
                        <c:v>127.3276204308884</c:v>
                      </c:pt>
                      <c:pt idx="1">
                        <c:v>127.90946502057614</c:v>
                      </c:pt>
                      <c:pt idx="2">
                        <c:v>125.04711692084241</c:v>
                      </c:pt>
                      <c:pt idx="3">
                        <c:v>90.987722101186165</c:v>
                      </c:pt>
                      <c:pt idx="4">
                        <c:v>109.85725490196079</c:v>
                      </c:pt>
                    </c:numCache>
                  </c:numRef>
                </c:val>
                <c:smooth val="0"/>
                <c:extLst xmlns:c15="http://schemas.microsoft.com/office/drawing/2012/chart">
                  <c:ext xmlns:c16="http://schemas.microsoft.com/office/drawing/2014/chart" uri="{C3380CC4-5D6E-409C-BE32-E72D297353CC}">
                    <c16:uniqueId val="{00000007-08B8-40F7-BBD3-759293FD87A3}"/>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'Diagnostic Radiography'!$A$68</c15:sqref>
                        </c15:formulaRef>
                      </c:ext>
                    </c:extLst>
                    <c:strCache>
                      <c:ptCount val="1"/>
                      <c:pt idx="0">
                        <c:v>Lower Projected Demand - Bands 2/3 (No COVID adjustment)</c:v>
                      </c:pt>
                    </c:strCache>
                  </c:strRef>
                </c:tx>
                <c:spPr>
                  <a:ln w="28575" cap="rnd">
                    <a:solidFill>
                      <a:schemeClr val="accent4"/>
                    </a:solidFill>
                    <a:round/>
                  </a:ln>
                  <a:effectLst/>
                </c:spPr>
                <c:marker>
                  <c:symbol val="circle"/>
                  <c:size val="5"/>
                  <c:spPr>
                    <a:solidFill>
                      <a:schemeClr val="tx1"/>
                    </a:solidFill>
                    <a:ln w="9525">
                      <a:solidFill>
                        <a:schemeClr val="tx1"/>
                      </a:solidFill>
                    </a:ln>
                    <a:effectLst/>
                  </c:spPr>
                </c:marker>
                <c:cat>
                  <c:strRef>
                    <c:extLst xmlns:c15="http://schemas.microsoft.com/office/drawing/2012/chart">
                      <c:ext xmlns:c15="http://schemas.microsoft.com/office/drawing/2012/chart" uri="{02D57815-91ED-43cb-92C2-25804820EDAC}">
                        <c15:formulaRef>
                          <c15:sqref>'Diagnostic Radiography'!$B$64:$P$64</c15:sqref>
                        </c15:formulaRef>
                      </c:ext>
                    </c:extLst>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extLst xmlns:c15="http://schemas.microsoft.com/office/drawing/2012/chart">
                      <c:ext xmlns:c15="http://schemas.microsoft.com/office/drawing/2012/chart" uri="{02D57815-91ED-43cb-92C2-25804820EDAC}">
                        <c15:formulaRef>
                          <c15:sqref>'Diagnostic Radiography'!$B$68:$P$68</c15:sqref>
                        </c15:formulaRef>
                      </c:ext>
                    </c:extLst>
                    <c:numCache>
                      <c:formatCode>#,##0.0</c:formatCode>
                      <c:ptCount val="15"/>
                      <c:pt idx="4">
                        <c:v>438.05495493262663</c:v>
                      </c:pt>
                      <c:pt idx="5">
                        <c:v>462.82521883954882</c:v>
                      </c:pt>
                      <c:pt idx="6">
                        <c:v>489.1089652588638</c:v>
                      </c:pt>
                      <c:pt idx="7">
                        <c:v>517.00291419067025</c:v>
                      </c:pt>
                      <c:pt idx="8">
                        <c:v>546.61014945601676</c:v>
                      </c:pt>
                      <c:pt idx="9">
                        <c:v>578.04054551104593</c:v>
                      </c:pt>
                      <c:pt idx="10">
                        <c:v>611.41122324726257</c:v>
                      </c:pt>
                      <c:pt idx="11">
                        <c:v>646.84703676261995</c:v>
                      </c:pt>
                      <c:pt idx="12">
                        <c:v>684.48109322475784</c:v>
                      </c:pt>
                      <c:pt idx="13">
                        <c:v>724.45530809379284</c:v>
                      </c:pt>
                      <c:pt idx="14">
                        <c:v>766.92099812823903</c:v>
                      </c:pt>
                    </c:numCache>
                  </c:numRef>
                </c:val>
                <c:smooth val="0"/>
                <c:extLst xmlns:c15="http://schemas.microsoft.com/office/drawing/2012/chart">
                  <c:ext xmlns:c16="http://schemas.microsoft.com/office/drawing/2014/chart" uri="{C3380CC4-5D6E-409C-BE32-E72D297353CC}">
                    <c16:uniqueId val="{00000009-08B8-40F7-BBD3-759293FD87A3}"/>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'Diagnostic Radiography'!$A$69</c15:sqref>
                        </c15:formulaRef>
                      </c:ext>
                    </c:extLst>
                    <c:strCache>
                      <c:ptCount val="1"/>
                      <c:pt idx="0">
                        <c:v>Upper Projected Demand - Bands 2/3 (No COVID adjustment)</c:v>
                      </c:pt>
                    </c:strCache>
                  </c:strRef>
                </c:tx>
                <c:spPr>
                  <a:ln w="28575" cap="rnd">
                    <a:solidFill>
                      <a:schemeClr val="accent5"/>
                    </a:solidFill>
                    <a:round/>
                  </a:ln>
                  <a:effectLst/>
                </c:spPr>
                <c:marker>
                  <c:symbol val="circle"/>
                  <c:size val="5"/>
                  <c:spPr>
                    <a:solidFill>
                      <a:srgbClr val="FF66FF"/>
                    </a:solidFill>
                    <a:ln w="9525">
                      <a:solidFill>
                        <a:srgbClr val="FF66FF"/>
                      </a:solidFill>
                    </a:ln>
                    <a:effectLst/>
                  </c:spPr>
                </c:marker>
                <c:cat>
                  <c:strRef>
                    <c:extLst xmlns:c15="http://schemas.microsoft.com/office/drawing/2012/chart">
                      <c:ext xmlns:c15="http://schemas.microsoft.com/office/drawing/2012/chart" uri="{02D57815-91ED-43cb-92C2-25804820EDAC}">
                        <c15:formulaRef>
                          <c15:sqref>'Diagnostic Radiography'!$B$64:$P$64</c15:sqref>
                        </c15:formulaRef>
                      </c:ext>
                    </c:extLst>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extLst xmlns:c15="http://schemas.microsoft.com/office/drawing/2012/chart">
                      <c:ext xmlns:c15="http://schemas.microsoft.com/office/drawing/2012/chart" uri="{02D57815-91ED-43cb-92C2-25804820EDAC}">
                        <c15:formulaRef>
                          <c15:sqref>'Diagnostic Radiography'!$B$69:$P$69</c15:sqref>
                        </c15:formulaRef>
                      </c:ext>
                    </c:extLst>
                    <c:numCache>
                      <c:formatCode>#,##0.0</c:formatCode>
                      <c:ptCount val="15"/>
                      <c:pt idx="4">
                        <c:v>438.05495493262663</c:v>
                      </c:pt>
                      <c:pt idx="5">
                        <c:v>472.44820593228803</c:v>
                      </c:pt>
                      <c:pt idx="6">
                        <c:v>509.80758213120691</c:v>
                      </c:pt>
                      <c:pt idx="7">
                        <c:v>550.40538062214341</c:v>
                      </c:pt>
                      <c:pt idx="8">
                        <c:v>594.54010831215135</c:v>
                      </c:pt>
                      <c:pt idx="9">
                        <c:v>642.53909445754107</c:v>
                      </c:pt>
                      <c:pt idx="10">
                        <c:v>694.76137020158501</c:v>
                      </c:pt>
                      <c:pt idx="11">
                        <c:v>751.6008428897328</c:v>
                      </c:pt>
                      <c:pt idx="12">
                        <c:v>813.48979586303187</c:v>
                      </c:pt>
                      <c:pt idx="13">
                        <c:v>880.90274766744051</c:v>
                      </c:pt>
                      <c:pt idx="14">
                        <c:v>954.36070819809584</c:v>
                      </c:pt>
                    </c:numCache>
                  </c:numRef>
                </c:val>
                <c:smooth val="0"/>
                <c:extLst xmlns:c15="http://schemas.microsoft.com/office/drawing/2012/chart">
                  <c:ext xmlns:c16="http://schemas.microsoft.com/office/drawing/2014/chart" uri="{C3380CC4-5D6E-409C-BE32-E72D297353CC}">
                    <c16:uniqueId val="{0000000A-08B8-40F7-BBD3-759293FD87A3}"/>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'Diagnostic Radiography'!$A$70</c15:sqref>
                        </c15:formulaRef>
                      </c:ext>
                    </c:extLst>
                    <c:strCache>
                      <c:ptCount val="1"/>
                      <c:pt idx="0">
                        <c:v>Lower Projected Demand - Bands 2/3 (COVID-adjusted)</c:v>
                      </c:pt>
                    </c:strCache>
                  </c:strRef>
                </c:tx>
                <c:spPr>
                  <a:ln w="28575" cap="rnd">
                    <a:solidFill>
                      <a:schemeClr val="accent6"/>
                    </a:solidFill>
                    <a:round/>
                  </a:ln>
                  <a:effectLst/>
                </c:spPr>
                <c:marker>
                  <c:symbol val="circle"/>
                  <c:size val="5"/>
                  <c:spPr>
                    <a:solidFill>
                      <a:srgbClr val="FF66FF"/>
                    </a:solidFill>
                    <a:ln w="9525">
                      <a:solidFill>
                        <a:srgbClr val="FF66FF"/>
                      </a:solidFill>
                    </a:ln>
                    <a:effectLst/>
                  </c:spPr>
                </c:marker>
                <c:cat>
                  <c:strRef>
                    <c:extLst xmlns:c15="http://schemas.microsoft.com/office/drawing/2012/chart">
                      <c:ext xmlns:c15="http://schemas.microsoft.com/office/drawing/2012/chart" uri="{02D57815-91ED-43cb-92C2-25804820EDAC}">
                        <c15:formulaRef>
                          <c15:sqref>'Diagnostic Radiography'!$B$64:$P$64</c15:sqref>
                        </c15:formulaRef>
                      </c:ext>
                    </c:extLst>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extLst xmlns:c15="http://schemas.microsoft.com/office/drawing/2012/chart">
                      <c:ext xmlns:c15="http://schemas.microsoft.com/office/drawing/2012/chart" uri="{02D57815-91ED-43cb-92C2-25804820EDAC}">
                        <c15:formulaRef>
                          <c15:sqref>'Diagnostic Radiography'!$B$70:$P$70</c15:sqref>
                        </c15:formulaRef>
                      </c:ext>
                    </c:extLst>
                    <c:numCache>
                      <c:formatCode>#,##0.0</c:formatCode>
                      <c:ptCount val="15"/>
                      <c:pt idx="2">
                        <c:v>503.29176984737245</c:v>
                      </c:pt>
                      <c:pt idx="3">
                        <c:v>531.52174534092501</c:v>
                      </c:pt>
                      <c:pt idx="4">
                        <c:v>561.46514799458691</c:v>
                      </c:pt>
                      <c:pt idx="5">
                        <c:v>593.23098427084415</c:v>
                      </c:pt>
                      <c:pt idx="6">
                        <c:v>626.93541347735868</c:v>
                      </c:pt>
                      <c:pt idx="7">
                        <c:v>662.70222679892436</c:v>
                      </c:pt>
                      <c:pt idx="8">
                        <c:v>700.66335883972715</c:v>
                      </c:pt>
                      <c:pt idx="9">
                        <c:v>740.95943390142895</c:v>
                      </c:pt>
                      <c:pt idx="10">
                        <c:v>783.74034937580188</c:v>
                      </c:pt>
                      <c:pt idx="11">
                        <c:v>829.16589879445905</c:v>
                      </c:pt>
                      <c:pt idx="12">
                        <c:v>877.40643725334655</c:v>
                      </c:pt>
                      <c:pt idx="13">
                        <c:v>928.64359211690544</c:v>
                      </c:pt>
                      <c:pt idx="14">
                        <c:v>983.07102210698883</c:v>
                      </c:pt>
                    </c:numCache>
                  </c:numRef>
                </c:val>
                <c:smooth val="0"/>
                <c:extLst xmlns:c15="http://schemas.microsoft.com/office/drawing/2012/chart">
                  <c:ext xmlns:c16="http://schemas.microsoft.com/office/drawing/2014/chart" uri="{C3380CC4-5D6E-409C-BE32-E72D297353CC}">
                    <c16:uniqueId val="{00000000-08B8-40F7-BBD3-759293FD87A3}"/>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'Diagnostic Radiography'!$A$71</c15:sqref>
                        </c15:formulaRef>
                      </c:ext>
                    </c:extLst>
                    <c:strCache>
                      <c:ptCount val="1"/>
                      <c:pt idx="0">
                        <c:v>Upper Projected Demand - Bands 2/3 (COVID-adjusted)</c:v>
                      </c:pt>
                    </c:strCache>
                  </c:strRef>
                </c:tx>
                <c:spPr>
                  <a:ln w="28575" cap="rnd">
                    <a:solidFill>
                      <a:schemeClr val="accent1">
                        <a:lumMod val="60000"/>
                      </a:schemeClr>
                    </a:solidFill>
                    <a:round/>
                  </a:ln>
                  <a:effectLst/>
                </c:spPr>
                <c:marker>
                  <c:symbol val="diamond"/>
                  <c:size val="5"/>
                  <c:spPr>
                    <a:solidFill>
                      <a:schemeClr val="accent3"/>
                    </a:solidFill>
                    <a:ln w="9525">
                      <a:solidFill>
                        <a:schemeClr val="accent3"/>
                      </a:solidFill>
                    </a:ln>
                    <a:effectLst/>
                  </c:spPr>
                </c:marker>
                <c:cat>
                  <c:strRef>
                    <c:extLst xmlns:c15="http://schemas.microsoft.com/office/drawing/2012/chart">
                      <c:ext xmlns:c15="http://schemas.microsoft.com/office/drawing/2012/chart" uri="{02D57815-91ED-43cb-92C2-25804820EDAC}">
                        <c15:formulaRef>
                          <c15:sqref>'Diagnostic Radiography'!$B$64:$P$64</c15:sqref>
                        </c15:formulaRef>
                      </c:ext>
                    </c:extLst>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extLst xmlns:c15="http://schemas.microsoft.com/office/drawing/2012/chart">
                      <c:ext xmlns:c15="http://schemas.microsoft.com/office/drawing/2012/chart" uri="{02D57815-91ED-43cb-92C2-25804820EDAC}">
                        <c15:formulaRef>
                          <c15:sqref>'Diagnostic Radiography'!$B$71:$P$71</c15:sqref>
                        </c15:formulaRef>
                      </c:ext>
                    </c:extLst>
                    <c:numCache>
                      <c:formatCode>#,##0.0</c:formatCode>
                      <c:ptCount val="15"/>
                      <c:pt idx="2">
                        <c:v>503.29176984737245</c:v>
                      </c:pt>
                      <c:pt idx="3">
                        <c:v>542.92323033845344</c:v>
                      </c:pt>
                      <c:pt idx="4">
                        <c:v>585.98994536894838</c:v>
                      </c:pt>
                      <c:pt idx="5">
                        <c:v>632.80958565707249</c:v>
                      </c:pt>
                      <c:pt idx="6">
                        <c:v>683.73066010300931</c:v>
                      </c:pt>
                      <c:pt idx="7">
                        <c:v>739.13561661651227</c:v>
                      </c:pt>
                      <c:pt idx="8">
                        <c:v>799.44426249337994</c:v>
                      </c:pt>
                      <c:pt idx="9">
                        <c:v>865.11753783320705</c:v>
                      </c:pt>
                      <c:pt idx="10">
                        <c:v>936.66167904260124</c:v>
                      </c:pt>
                      <c:pt idx="11">
                        <c:v>1014.6328133996465</c:v>
                      </c:pt>
                      <c:pt idx="12">
                        <c:v>1099.6420300076377</c:v>
                      </c:pt>
                      <c:pt idx="13">
                        <c:v>1192.3609772842694</c:v>
                      </c:pt>
                      <c:pt idx="14">
                        <c:v>1293.5280424667258</c:v>
                      </c:pt>
                    </c:numCache>
                  </c:numRef>
                </c:val>
                <c:smooth val="0"/>
                <c:extLst xmlns:c15="http://schemas.microsoft.com/office/drawing/2012/chart">
                  <c:ext xmlns:c16="http://schemas.microsoft.com/office/drawing/2014/chart" uri="{C3380CC4-5D6E-409C-BE32-E72D297353CC}">
                    <c16:uniqueId val="{0000000B-08B8-40F7-BBD3-759293FD87A3}"/>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'Diagnostic Radiography'!$A$72</c15:sqref>
                        </c15:formulaRef>
                      </c:ext>
                    </c:extLst>
                    <c:strCache>
                      <c:ptCount val="1"/>
                      <c:pt idx="0">
                        <c:v>Projected Demand - Band 4 (No COVID adjustment)</c:v>
                      </c:pt>
                    </c:strCache>
                  </c:strRef>
                </c:tx>
                <c:spPr>
                  <a:ln w="28575" cap="rnd">
                    <a:solidFill>
                      <a:schemeClr val="accent2">
                        <a:lumMod val="60000"/>
                      </a:schemeClr>
                    </a:solidFill>
                    <a:round/>
                  </a:ln>
                  <a:effectLst/>
                </c:spPr>
                <c:marker>
                  <c:symbol val="triangle"/>
                  <c:size val="5"/>
                  <c:spPr>
                    <a:solidFill>
                      <a:schemeClr val="tx1">
                        <a:lumMod val="50000"/>
                        <a:lumOff val="50000"/>
                      </a:schemeClr>
                    </a:solidFill>
                    <a:ln w="9525">
                      <a:solidFill>
                        <a:schemeClr val="tx1">
                          <a:lumMod val="50000"/>
                          <a:lumOff val="50000"/>
                        </a:schemeClr>
                      </a:solidFill>
                    </a:ln>
                    <a:effectLst/>
                  </c:spPr>
                </c:marker>
                <c:cat>
                  <c:strRef>
                    <c:extLst xmlns:c15="http://schemas.microsoft.com/office/drawing/2012/chart">
                      <c:ext xmlns:c15="http://schemas.microsoft.com/office/drawing/2012/chart" uri="{02D57815-91ED-43cb-92C2-25804820EDAC}">
                        <c15:formulaRef>
                          <c15:sqref>'Diagnostic Radiography'!$B$64:$P$64</c15:sqref>
                        </c15:formulaRef>
                      </c:ext>
                    </c:extLst>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extLst xmlns:c15="http://schemas.microsoft.com/office/drawing/2012/chart">
                      <c:ext xmlns:c15="http://schemas.microsoft.com/office/drawing/2012/chart" uri="{02D57815-91ED-43cb-92C2-25804820EDAC}">
                        <c15:formulaRef>
                          <c15:sqref>'Diagnostic Radiography'!$B$72:$P$72</c15:sqref>
                        </c15:formulaRef>
                      </c:ext>
                    </c:extLst>
                    <c:numCache>
                      <c:formatCode>#,##0.0</c:formatCode>
                      <c:ptCount val="15"/>
                      <c:pt idx="4">
                        <c:v>109.85725490196079</c:v>
                      </c:pt>
                      <c:pt idx="5">
                        <c:v>110.95582745098039</c:v>
                      </c:pt>
                      <c:pt idx="6">
                        <c:v>112.06538572549017</c:v>
                      </c:pt>
                      <c:pt idx="7">
                        <c:v>113.18603958274507</c:v>
                      </c:pt>
                      <c:pt idx="8">
                        <c:v>114.31789997857254</c:v>
                      </c:pt>
                      <c:pt idx="9">
                        <c:v>115.46107897835826</c:v>
                      </c:pt>
                      <c:pt idx="10">
                        <c:v>116.61568976814185</c:v>
                      </c:pt>
                      <c:pt idx="11">
                        <c:v>117.78184666582325</c:v>
                      </c:pt>
                      <c:pt idx="12">
                        <c:v>118.95966513248149</c:v>
                      </c:pt>
                      <c:pt idx="13">
                        <c:v>120.14926178380631</c:v>
                      </c:pt>
                      <c:pt idx="14">
                        <c:v>121.35075440164437</c:v>
                      </c:pt>
                    </c:numCache>
                  </c:numRef>
                </c:val>
                <c:smooth val="0"/>
                <c:extLst xmlns:c15="http://schemas.microsoft.com/office/drawing/2012/chart">
                  <c:ext xmlns:c16="http://schemas.microsoft.com/office/drawing/2014/chart" uri="{C3380CC4-5D6E-409C-BE32-E72D297353CC}">
                    <c16:uniqueId val="{0000000C-08B8-40F7-BBD3-759293FD87A3}"/>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'Diagnostic Radiography'!$A$73</c15:sqref>
                        </c15:formulaRef>
                      </c:ext>
                    </c:extLst>
                    <c:strCache>
                      <c:ptCount val="1"/>
                      <c:pt idx="0">
                        <c:v>Projected Demand - Band 4 (COVID-adjusted)</c:v>
                      </c:pt>
                    </c:strCache>
                  </c:strRef>
                </c:tx>
                <c:spPr>
                  <a:ln w="28575" cap="rnd">
                    <a:solidFill>
                      <a:schemeClr val="accent3">
                        <a:lumMod val="60000"/>
                      </a:schemeClr>
                    </a:solidFill>
                    <a:round/>
                  </a:ln>
                  <a:effectLst/>
                </c:spPr>
                <c:marker>
                  <c:symbol val="triangle"/>
                  <c:size val="5"/>
                  <c:spPr>
                    <a:solidFill>
                      <a:srgbClr val="00B0F0"/>
                    </a:solidFill>
                    <a:ln w="9525">
                      <a:solidFill>
                        <a:srgbClr val="00B0F0"/>
                      </a:solidFill>
                    </a:ln>
                    <a:effectLst/>
                  </c:spPr>
                </c:marker>
                <c:cat>
                  <c:strRef>
                    <c:extLst xmlns:c15="http://schemas.microsoft.com/office/drawing/2012/chart">
                      <c:ext xmlns:c15="http://schemas.microsoft.com/office/drawing/2012/chart" uri="{02D57815-91ED-43cb-92C2-25804820EDAC}">
                        <c15:formulaRef>
                          <c15:sqref>'Diagnostic Radiography'!$B$64:$P$64</c15:sqref>
                        </c15:formulaRef>
                      </c:ext>
                    </c:extLst>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extLst xmlns:c15="http://schemas.microsoft.com/office/drawing/2012/chart">
                      <c:ext xmlns:c15="http://schemas.microsoft.com/office/drawing/2012/chart" uri="{02D57815-91ED-43cb-92C2-25804820EDAC}">
                        <c15:formulaRef>
                          <c15:sqref>'Diagnostic Radiography'!$B$73:$P$73</c15:sqref>
                        </c15:formulaRef>
                      </c:ext>
                    </c:extLst>
                    <c:numCache>
                      <c:formatCode>#,##0.0</c:formatCode>
                      <c:ptCount val="15"/>
                      <c:pt idx="2">
                        <c:v>128.34429758734768</c:v>
                      </c:pt>
                      <c:pt idx="3">
                        <c:v>129.62774056322118</c:v>
                      </c:pt>
                      <c:pt idx="4">
                        <c:v>130.92401796885338</c:v>
                      </c:pt>
                      <c:pt idx="5">
                        <c:v>132.23325814854192</c:v>
                      </c:pt>
                      <c:pt idx="6">
                        <c:v>133.55559073002732</c:v>
                      </c:pt>
                      <c:pt idx="7">
                        <c:v>134.89114663732761</c:v>
                      </c:pt>
                      <c:pt idx="8">
                        <c:v>136.24005810370087</c:v>
                      </c:pt>
                      <c:pt idx="9">
                        <c:v>137.60245868473791</c:v>
                      </c:pt>
                      <c:pt idx="10">
                        <c:v>138.97848327158525</c:v>
                      </c:pt>
                      <c:pt idx="11">
                        <c:v>140.36826810430108</c:v>
                      </c:pt>
                      <c:pt idx="12">
                        <c:v>141.77195078534413</c:v>
                      </c:pt>
                      <c:pt idx="13">
                        <c:v>143.18967029319754</c:v>
                      </c:pt>
                      <c:pt idx="14">
                        <c:v>144.62156699612953</c:v>
                      </c:pt>
                    </c:numCache>
                  </c:numRef>
                </c:val>
                <c:smooth val="0"/>
                <c:extLst xmlns:c15="http://schemas.microsoft.com/office/drawing/2012/chart">
                  <c:ext xmlns:c16="http://schemas.microsoft.com/office/drawing/2014/chart" uri="{C3380CC4-5D6E-409C-BE32-E72D297353CC}">
                    <c16:uniqueId val="{0000000D-08B8-40F7-BBD3-759293FD87A3}"/>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'Diagnostic Radiography'!$A$80</c15:sqref>
                        </c15:formulaRef>
                      </c:ext>
                    </c:extLst>
                    <c:strCache>
                      <c:ptCount val="1"/>
                      <c:pt idx="0">
                        <c:v>WTE Staff In Post - Band 2 (As at 30/09)</c:v>
                      </c:pt>
                    </c:strCache>
                  </c:strRef>
                </c:tx>
                <c:spPr>
                  <a:ln w="28575"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cat>
                  <c:strRef>
                    <c:extLst xmlns:c15="http://schemas.microsoft.com/office/drawing/2012/chart">
                      <c:ext xmlns:c15="http://schemas.microsoft.com/office/drawing/2012/chart" uri="{02D57815-91ED-43cb-92C2-25804820EDAC}">
                        <c15:formulaRef>
                          <c15:sqref>'Diagnostic Radiography'!$B$64:$P$64</c15:sqref>
                        </c15:formulaRef>
                      </c:ext>
                    </c:extLst>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extLst xmlns:c15="http://schemas.microsoft.com/office/drawing/2012/chart">
                      <c:ext xmlns:c15="http://schemas.microsoft.com/office/drawing/2012/chart" uri="{02D57815-91ED-43cb-92C2-25804820EDAC}">
                        <c15:formulaRef>
                          <c15:sqref>'Diagnostic Radiography'!$B$80:$P$80</c15:sqref>
                        </c15:formulaRef>
                      </c:ext>
                    </c:extLst>
                    <c:numCache>
                      <c:formatCode>#,##0.0</c:formatCode>
                      <c:ptCount val="15"/>
                      <c:pt idx="0">
                        <c:v>67.099999999999994</c:v>
                      </c:pt>
                      <c:pt idx="1">
                        <c:v>59</c:v>
                      </c:pt>
                      <c:pt idx="2">
                        <c:v>67.099999999999994</c:v>
                      </c:pt>
                      <c:pt idx="3">
                        <c:v>57.9</c:v>
                      </c:pt>
                      <c:pt idx="4">
                        <c:v>56.9</c:v>
                      </c:pt>
                      <c:pt idx="5">
                        <c:v>#N/A</c:v>
                      </c:pt>
                      <c:pt idx="6">
                        <c:v>#N/A</c:v>
                      </c:pt>
                      <c:pt idx="7">
                        <c:v>#N/A</c:v>
                      </c:pt>
                      <c:pt idx="8">
                        <c:v>#N/A</c:v>
                      </c:pt>
                      <c:pt idx="9">
                        <c:v>#N/A</c:v>
                      </c:pt>
                      <c:pt idx="10">
                        <c:v>#N/A</c:v>
                      </c:pt>
                      <c:pt idx="11">
                        <c:v>#N/A</c:v>
                      </c:pt>
                      <c:pt idx="12">
                        <c:v>#N/A</c:v>
                      </c:pt>
                      <c:pt idx="13">
                        <c:v>#N/A</c:v>
                      </c:pt>
                      <c:pt idx="14">
                        <c:v>#N/A</c:v>
                      </c:pt>
                    </c:numCache>
                  </c:numRef>
                </c:val>
                <c:smooth val="0"/>
                <c:extLst xmlns:c15="http://schemas.microsoft.com/office/drawing/2012/chart">
                  <c:ext xmlns:c16="http://schemas.microsoft.com/office/drawing/2014/chart" uri="{C3380CC4-5D6E-409C-BE32-E72D297353CC}">
                    <c16:uniqueId val="{00000014-08B8-40F7-BBD3-759293FD87A3}"/>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'Diagnostic Radiography'!$A$81</c15:sqref>
                        </c15:formulaRef>
                      </c:ext>
                    </c:extLst>
                    <c:strCache>
                      <c:ptCount val="1"/>
                      <c:pt idx="0">
                        <c:v>WTE Staff In Post - Band 3 (As at 30/09)</c:v>
                      </c:pt>
                    </c:strCache>
                  </c:strRef>
                </c:tx>
                <c:spPr>
                  <a:ln w="28575"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cat>
                  <c:strRef>
                    <c:extLst xmlns:c15="http://schemas.microsoft.com/office/drawing/2012/chart">
                      <c:ext xmlns:c15="http://schemas.microsoft.com/office/drawing/2012/chart" uri="{02D57815-91ED-43cb-92C2-25804820EDAC}">
                        <c15:formulaRef>
                          <c15:sqref>'Diagnostic Radiography'!$B$64:$P$64</c15:sqref>
                        </c15:formulaRef>
                      </c:ext>
                    </c:extLst>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extLst xmlns:c15="http://schemas.microsoft.com/office/drawing/2012/chart">
                      <c:ext xmlns:c15="http://schemas.microsoft.com/office/drawing/2012/chart" uri="{02D57815-91ED-43cb-92C2-25804820EDAC}">
                        <c15:formulaRef>
                          <c15:sqref>'Diagnostic Radiography'!$B$81:$P$81</c15:sqref>
                        </c15:formulaRef>
                      </c:ext>
                    </c:extLst>
                    <c:numCache>
                      <c:formatCode>#,##0.0</c:formatCode>
                      <c:ptCount val="15"/>
                      <c:pt idx="0">
                        <c:v>289.89999999999998</c:v>
                      </c:pt>
                      <c:pt idx="1">
                        <c:v>298.5</c:v>
                      </c:pt>
                      <c:pt idx="2">
                        <c:v>298.5</c:v>
                      </c:pt>
                      <c:pt idx="3">
                        <c:v>314.10000000000002</c:v>
                      </c:pt>
                      <c:pt idx="4">
                        <c:v>337.6</c:v>
                      </c:pt>
                      <c:pt idx="5">
                        <c:v>#N/A</c:v>
                      </c:pt>
                      <c:pt idx="6">
                        <c:v>#N/A</c:v>
                      </c:pt>
                      <c:pt idx="7">
                        <c:v>#N/A</c:v>
                      </c:pt>
                      <c:pt idx="8">
                        <c:v>#N/A</c:v>
                      </c:pt>
                      <c:pt idx="9">
                        <c:v>#N/A</c:v>
                      </c:pt>
                      <c:pt idx="10">
                        <c:v>#N/A</c:v>
                      </c:pt>
                      <c:pt idx="11">
                        <c:v>#N/A</c:v>
                      </c:pt>
                      <c:pt idx="12">
                        <c:v>#N/A</c:v>
                      </c:pt>
                      <c:pt idx="13">
                        <c:v>#N/A</c:v>
                      </c:pt>
                      <c:pt idx="14">
                        <c:v>#N/A</c:v>
                      </c:pt>
                    </c:numCache>
                  </c:numRef>
                </c:val>
                <c:smooth val="0"/>
                <c:extLst xmlns:c15="http://schemas.microsoft.com/office/drawing/2012/chart">
                  <c:ext xmlns:c16="http://schemas.microsoft.com/office/drawing/2014/chart" uri="{C3380CC4-5D6E-409C-BE32-E72D297353CC}">
                    <c16:uniqueId val="{00000015-08B8-40F7-BBD3-759293FD87A3}"/>
                  </c:ext>
                </c:extLst>
              </c15:ser>
            </c15:filteredLineSeries>
            <c15:filteredLineSeries>
              <c15:ser>
                <c:idx val="17"/>
                <c:order val="17"/>
                <c:tx>
                  <c:strRef>
                    <c:extLst xmlns:c15="http://schemas.microsoft.com/office/drawing/2012/chart">
                      <c:ext xmlns:c15="http://schemas.microsoft.com/office/drawing/2012/chart" uri="{02D57815-91ED-43cb-92C2-25804820EDAC}">
                        <c15:formulaRef>
                          <c15:sqref>'Diagnostic Radiography'!$A$82</c15:sqref>
                        </c15:formulaRef>
                      </c:ext>
                    </c:extLst>
                    <c:strCache>
                      <c:ptCount val="1"/>
                      <c:pt idx="0">
                        <c:v>WTE Staff In Post - Band 4 (As at 30/09)</c:v>
                      </c:pt>
                    </c:strCache>
                  </c:strRef>
                </c:tx>
                <c:spPr>
                  <a:ln w="28575"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cat>
                  <c:strRef>
                    <c:extLst xmlns:c15="http://schemas.microsoft.com/office/drawing/2012/chart">
                      <c:ext xmlns:c15="http://schemas.microsoft.com/office/drawing/2012/chart" uri="{02D57815-91ED-43cb-92C2-25804820EDAC}">
                        <c15:formulaRef>
                          <c15:sqref>'Diagnostic Radiography'!$B$64:$P$64</c15:sqref>
                        </c15:formulaRef>
                      </c:ext>
                    </c:extLst>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extLst xmlns:c15="http://schemas.microsoft.com/office/drawing/2012/chart">
                      <c:ext xmlns:c15="http://schemas.microsoft.com/office/drawing/2012/chart" uri="{02D57815-91ED-43cb-92C2-25804820EDAC}">
                        <c15:formulaRef>
                          <c15:sqref>'Diagnostic Radiography'!$B$82:$P$82</c15:sqref>
                        </c15:formulaRef>
                      </c:ext>
                    </c:extLst>
                    <c:numCache>
                      <c:formatCode>#,##0.0</c:formatCode>
                      <c:ptCount val="15"/>
                      <c:pt idx="0">
                        <c:v>75</c:v>
                      </c:pt>
                      <c:pt idx="1">
                        <c:v>69.7</c:v>
                      </c:pt>
                      <c:pt idx="2">
                        <c:v>75.3</c:v>
                      </c:pt>
                      <c:pt idx="3">
                        <c:v>76.7</c:v>
                      </c:pt>
                      <c:pt idx="4">
                        <c:v>73.7</c:v>
                      </c:pt>
                      <c:pt idx="5">
                        <c:v>#N/A</c:v>
                      </c:pt>
                      <c:pt idx="6">
                        <c:v>#N/A</c:v>
                      </c:pt>
                      <c:pt idx="7">
                        <c:v>#N/A</c:v>
                      </c:pt>
                      <c:pt idx="8">
                        <c:v>#N/A</c:v>
                      </c:pt>
                      <c:pt idx="9">
                        <c:v>#N/A</c:v>
                      </c:pt>
                      <c:pt idx="10">
                        <c:v>#N/A</c:v>
                      </c:pt>
                      <c:pt idx="11">
                        <c:v>#N/A</c:v>
                      </c:pt>
                      <c:pt idx="12">
                        <c:v>#N/A</c:v>
                      </c:pt>
                      <c:pt idx="13">
                        <c:v>#N/A</c:v>
                      </c:pt>
                      <c:pt idx="14">
                        <c:v>#N/A</c:v>
                      </c:pt>
                    </c:numCache>
                  </c:numRef>
                </c:val>
                <c:smooth val="0"/>
                <c:extLst xmlns:c15="http://schemas.microsoft.com/office/drawing/2012/chart">
                  <c:ext xmlns:c16="http://schemas.microsoft.com/office/drawing/2014/chart" uri="{C3380CC4-5D6E-409C-BE32-E72D297353CC}">
                    <c16:uniqueId val="{00000016-08B8-40F7-BBD3-759293FD87A3}"/>
                  </c:ext>
                </c:extLst>
              </c15:ser>
            </c15:filteredLineSeries>
          </c:ext>
        </c:extLst>
      </c:lineChart>
      <c:catAx>
        <c:axId val="95615371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6162031"/>
        <c:crosses val="autoZero"/>
        <c:auto val="1"/>
        <c:lblAlgn val="ctr"/>
        <c:lblOffset val="100"/>
        <c:noMultiLvlLbl val="0"/>
      </c:catAx>
      <c:valAx>
        <c:axId val="95616203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615371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b="1">
                <a:solidFill>
                  <a:schemeClr val="tx1"/>
                </a:solidFill>
                <a:latin typeface="Arial" panose="020B0604020202020204" pitchFamily="34" charset="0"/>
                <a:cs typeface="Arial" panose="020B0604020202020204" pitchFamily="34" charset="0"/>
              </a:rPr>
              <a:t>WTE Sonographers </a:t>
            </a:r>
            <a:r>
              <a:rPr lang="en-GB" sz="1200" b="0">
                <a:solidFill>
                  <a:schemeClr val="tx1"/>
                </a:solidFill>
                <a:latin typeface="Arial" panose="020B0604020202020204" pitchFamily="34" charset="0"/>
                <a:cs typeface="Arial" panose="020B0604020202020204" pitchFamily="34" charset="0"/>
              </a:rPr>
              <a:t>(to deliver non-obstetric US only)</a:t>
            </a:r>
            <a:endParaRPr lang="en-GB" sz="1200" b="1">
              <a:solidFill>
                <a:schemeClr val="tx1"/>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Sonographers!$A$16</c:f>
              <c:strCache>
                <c:ptCount val="1"/>
                <c:pt idx="0">
                  <c:v>Activity Performed (Actual Exam Requests)</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1-3655-44E9-AE75-943DE4E86A1F}"/>
                </c:ext>
              </c:extLst>
            </c:dLbl>
            <c:dLbl>
              <c:idx val="1"/>
              <c:delete val="1"/>
              <c:extLst>
                <c:ext xmlns:c15="http://schemas.microsoft.com/office/drawing/2012/chart" uri="{CE6537A1-D6FC-4f65-9D91-7224C49458BB}"/>
                <c:ext xmlns:c16="http://schemas.microsoft.com/office/drawing/2014/chart" uri="{C3380CC4-5D6E-409C-BE32-E72D297353CC}">
                  <c16:uniqueId val="{00000002-3655-44E9-AE75-943DE4E86A1F}"/>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Sonographers!$B$15:$P$15</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Sonographers!$B$16:$P$16</c:f>
              <c:numCache>
                <c:formatCode>#,##0.0</c:formatCode>
                <c:ptCount val="15"/>
                <c:pt idx="0">
                  <c:v>157.86476355247981</c:v>
                </c:pt>
                <c:pt idx="1">
                  <c:v>157.99192618223759</c:v>
                </c:pt>
                <c:pt idx="2">
                  <c:v>154.45559400230681</c:v>
                </c:pt>
                <c:pt idx="3">
                  <c:v>116.32151095732411</c:v>
                </c:pt>
                <c:pt idx="4">
                  <c:v>129.6340830449827</c:v>
                </c:pt>
              </c:numCache>
            </c:numRef>
          </c:val>
          <c:smooth val="0"/>
          <c:extLst>
            <c:ext xmlns:c16="http://schemas.microsoft.com/office/drawing/2014/chart" uri="{C3380CC4-5D6E-409C-BE32-E72D297353CC}">
              <c16:uniqueId val="{00000000-87A7-4599-81A9-E0AB73804473}"/>
            </c:ext>
          </c:extLst>
        </c:ser>
        <c:ser>
          <c:idx val="1"/>
          <c:order val="1"/>
          <c:tx>
            <c:strRef>
              <c:f>Sonographers!$A$17</c:f>
              <c:strCache>
                <c:ptCount val="1"/>
                <c:pt idx="0">
                  <c:v>Lower Projected Demand (No COVID adjustment)</c:v>
                </c:pt>
              </c:strCache>
            </c:strRef>
          </c:tx>
          <c:spPr>
            <a:ln w="28575" cap="rnd">
              <a:solidFill>
                <a:srgbClr val="66FF33"/>
              </a:solidFill>
              <a:round/>
            </a:ln>
            <a:effectLst/>
          </c:spPr>
          <c:marker>
            <c:symbol val="circle"/>
            <c:size val="5"/>
            <c:spPr>
              <a:solidFill>
                <a:srgbClr val="66FF33"/>
              </a:solidFill>
              <a:ln w="9525">
                <a:solidFill>
                  <a:srgbClr val="66FF33"/>
                </a:solidFill>
              </a:ln>
              <a:effectLst/>
            </c:spPr>
          </c:marker>
          <c:dLbls>
            <c:dLbl>
              <c:idx val="4"/>
              <c:delete val="1"/>
              <c:extLst>
                <c:ext xmlns:c15="http://schemas.microsoft.com/office/drawing/2012/chart" uri="{CE6537A1-D6FC-4f65-9D91-7224C49458BB}"/>
                <c:ext xmlns:c16="http://schemas.microsoft.com/office/drawing/2014/chart" uri="{C3380CC4-5D6E-409C-BE32-E72D297353CC}">
                  <c16:uniqueId val="{00000008-8807-476C-A201-67D276AA030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Sonographers!$B$15:$P$15</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Sonographers!$B$17:$P$17</c:f>
              <c:numCache>
                <c:formatCode>#,##0.0</c:formatCode>
                <c:ptCount val="15"/>
                <c:pt idx="4">
                  <c:v>129.6340830449827</c:v>
                </c:pt>
                <c:pt idx="5">
                  <c:v>134.81944636678202</c:v>
                </c:pt>
                <c:pt idx="6">
                  <c:v>140.21222422145328</c:v>
                </c:pt>
                <c:pt idx="7">
                  <c:v>145.82071319031144</c:v>
                </c:pt>
                <c:pt idx="8">
                  <c:v>151.6535417179239</c:v>
                </c:pt>
                <c:pt idx="9">
                  <c:v>157.71968338664087</c:v>
                </c:pt>
                <c:pt idx="10">
                  <c:v>164.0284707221065</c:v>
                </c:pt>
                <c:pt idx="11">
                  <c:v>170.58960955099079</c:v>
                </c:pt>
                <c:pt idx="12">
                  <c:v>177.41319393303039</c:v>
                </c:pt>
                <c:pt idx="13">
                  <c:v>184.5097216903516</c:v>
                </c:pt>
                <c:pt idx="14">
                  <c:v>191.8901105579657</c:v>
                </c:pt>
              </c:numCache>
            </c:numRef>
          </c:val>
          <c:smooth val="0"/>
          <c:extLst>
            <c:ext xmlns:c16="http://schemas.microsoft.com/office/drawing/2014/chart" uri="{C3380CC4-5D6E-409C-BE32-E72D297353CC}">
              <c16:uniqueId val="{00000001-87A7-4599-81A9-E0AB73804473}"/>
            </c:ext>
          </c:extLst>
        </c:ser>
        <c:ser>
          <c:idx val="2"/>
          <c:order val="2"/>
          <c:tx>
            <c:strRef>
              <c:f>Sonographers!$A$18</c:f>
              <c:strCache>
                <c:ptCount val="1"/>
                <c:pt idx="0">
                  <c:v>Upper Projected Demand (No COVID adjustment)</c:v>
                </c:pt>
              </c:strCache>
            </c:strRef>
          </c:tx>
          <c:spPr>
            <a:ln w="28575" cap="rnd">
              <a:solidFill>
                <a:srgbClr val="66FF33"/>
              </a:solidFill>
              <a:round/>
            </a:ln>
            <a:effectLst/>
          </c:spPr>
          <c:marker>
            <c:symbol val="circle"/>
            <c:size val="5"/>
            <c:spPr>
              <a:solidFill>
                <a:srgbClr val="66FF33"/>
              </a:solidFill>
              <a:ln w="9525">
                <a:solidFill>
                  <a:srgbClr val="66FF33"/>
                </a:solidFill>
              </a:ln>
              <a:effectLst/>
            </c:spPr>
          </c:marker>
          <c:cat>
            <c:strRef>
              <c:f>Sonographers!$B$15:$P$15</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Sonographers!$B$18:$P$18</c:f>
              <c:numCache>
                <c:formatCode>#,##0.0</c:formatCode>
                <c:ptCount val="15"/>
                <c:pt idx="4">
                  <c:v>129.6340830449827</c:v>
                </c:pt>
                <c:pt idx="5">
                  <c:v>137.41212802768166</c:v>
                </c:pt>
                <c:pt idx="6">
                  <c:v>145.65685570934258</c:v>
                </c:pt>
                <c:pt idx="7">
                  <c:v>154.39626705190312</c:v>
                </c:pt>
                <c:pt idx="8">
                  <c:v>163.66004307501731</c:v>
                </c:pt>
                <c:pt idx="9">
                  <c:v>173.47964565951838</c:v>
                </c:pt>
                <c:pt idx="10">
                  <c:v>183.88842439908947</c:v>
                </c:pt>
                <c:pt idx="11">
                  <c:v>194.92172986303484</c:v>
                </c:pt>
                <c:pt idx="12">
                  <c:v>206.61703365481694</c:v>
                </c:pt>
                <c:pt idx="13">
                  <c:v>219.01405567410595</c:v>
                </c:pt>
                <c:pt idx="14">
                  <c:v>232.15489901455234</c:v>
                </c:pt>
              </c:numCache>
            </c:numRef>
          </c:val>
          <c:smooth val="0"/>
          <c:extLst>
            <c:ext xmlns:c16="http://schemas.microsoft.com/office/drawing/2014/chart" uri="{C3380CC4-5D6E-409C-BE32-E72D297353CC}">
              <c16:uniqueId val="{00000002-87A7-4599-81A9-E0AB73804473}"/>
            </c:ext>
          </c:extLst>
        </c:ser>
        <c:ser>
          <c:idx val="3"/>
          <c:order val="3"/>
          <c:tx>
            <c:strRef>
              <c:f>Sonographers!$A$19</c:f>
              <c:strCache>
                <c:ptCount val="1"/>
                <c:pt idx="0">
                  <c:v>Lower Projected Demand (COVID-adjusted)</c:v>
                </c:pt>
              </c:strCache>
            </c:strRef>
          </c:tx>
          <c:spPr>
            <a:ln w="28575" cap="rnd">
              <a:solidFill>
                <a:srgbClr val="FF66FF"/>
              </a:solidFill>
              <a:round/>
            </a:ln>
            <a:effectLst/>
          </c:spPr>
          <c:marker>
            <c:symbol val="circle"/>
            <c:size val="5"/>
            <c:spPr>
              <a:solidFill>
                <a:srgbClr val="FF66FF"/>
              </a:solidFill>
              <a:ln w="9525">
                <a:solidFill>
                  <a:srgbClr val="FF66FF"/>
                </a:solidFill>
              </a:ln>
              <a:effectLst/>
            </c:spPr>
          </c:marker>
          <c:cat>
            <c:strRef>
              <c:f>Sonographers!$B$15:$P$15</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Sonographers!$B$19:$P$19</c:f>
              <c:numCache>
                <c:formatCode>#,##0.0</c:formatCode>
                <c:ptCount val="15"/>
                <c:pt idx="2">
                  <c:v>157.91810841983852</c:v>
                </c:pt>
                <c:pt idx="3">
                  <c:v>164.23483275663207</c:v>
                </c:pt>
                <c:pt idx="4">
                  <c:v>170.80422606689737</c:v>
                </c:pt>
                <c:pt idx="5">
                  <c:v>177.63639510957327</c:v>
                </c:pt>
                <c:pt idx="6">
                  <c:v>184.74185091395617</c:v>
                </c:pt>
                <c:pt idx="7">
                  <c:v>192.13152495051446</c:v>
                </c:pt>
                <c:pt idx="8">
                  <c:v>199.81678594853503</c:v>
                </c:pt>
                <c:pt idx="9">
                  <c:v>207.80945738647642</c:v>
                </c:pt>
                <c:pt idx="10">
                  <c:v>216.12183568193552</c:v>
                </c:pt>
                <c:pt idx="11">
                  <c:v>224.76670910921294</c:v>
                </c:pt>
                <c:pt idx="12">
                  <c:v>233.75737747358141</c:v>
                </c:pt>
                <c:pt idx="13">
                  <c:v>243.10767257252468</c:v>
                </c:pt>
                <c:pt idx="14">
                  <c:v>252.8319794754257</c:v>
                </c:pt>
              </c:numCache>
            </c:numRef>
          </c:val>
          <c:smooth val="0"/>
          <c:extLst>
            <c:ext xmlns:c16="http://schemas.microsoft.com/office/drawing/2014/chart" uri="{C3380CC4-5D6E-409C-BE32-E72D297353CC}">
              <c16:uniqueId val="{00000003-87A7-4599-81A9-E0AB73804473}"/>
            </c:ext>
          </c:extLst>
        </c:ser>
        <c:ser>
          <c:idx val="4"/>
          <c:order val="4"/>
          <c:tx>
            <c:strRef>
              <c:f>Sonographers!$A$20</c:f>
              <c:strCache>
                <c:ptCount val="1"/>
                <c:pt idx="0">
                  <c:v>Upper Projected Demand (COVID-adjusted)</c:v>
                </c:pt>
              </c:strCache>
            </c:strRef>
          </c:tx>
          <c:spPr>
            <a:ln w="28575" cap="rnd">
              <a:solidFill>
                <a:srgbClr val="FF66FF"/>
              </a:solidFill>
              <a:round/>
            </a:ln>
            <a:effectLst/>
          </c:spPr>
          <c:marker>
            <c:symbol val="circle"/>
            <c:size val="5"/>
            <c:spPr>
              <a:solidFill>
                <a:srgbClr val="FF66FF"/>
              </a:solidFill>
              <a:ln w="9525">
                <a:solidFill>
                  <a:srgbClr val="FF66FF"/>
                </a:solidFill>
              </a:ln>
              <a:effectLst/>
            </c:spPr>
          </c:marker>
          <c:dLbls>
            <c:dLbl>
              <c:idx val="4"/>
              <c:delete val="1"/>
              <c:extLst>
                <c:ext xmlns:c15="http://schemas.microsoft.com/office/drawing/2012/chart" uri="{CE6537A1-D6FC-4f65-9D91-7224C49458BB}"/>
                <c:ext xmlns:c16="http://schemas.microsoft.com/office/drawing/2014/chart" uri="{C3380CC4-5D6E-409C-BE32-E72D297353CC}">
                  <c16:uniqueId val="{00000005-8807-476C-A201-67D276AA030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Sonographers!$B$15:$P$15</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Sonographers!$B$20:$P$20</c:f>
              <c:numCache>
                <c:formatCode>#,##0.0</c:formatCode>
                <c:ptCount val="15"/>
                <c:pt idx="2">
                  <c:v>157.91810841983852</c:v>
                </c:pt>
                <c:pt idx="3">
                  <c:v>167.39319492502884</c:v>
                </c:pt>
                <c:pt idx="4">
                  <c:v>177.43678662053054</c:v>
                </c:pt>
                <c:pt idx="5">
                  <c:v>188.0829938177624</c:v>
                </c:pt>
                <c:pt idx="6">
                  <c:v>199.36797344682816</c:v>
                </c:pt>
                <c:pt idx="7">
                  <c:v>211.33005185363785</c:v>
                </c:pt>
                <c:pt idx="8">
                  <c:v>224.00985496485612</c:v>
                </c:pt>
                <c:pt idx="9">
                  <c:v>237.45044626274748</c:v>
                </c:pt>
                <c:pt idx="10">
                  <c:v>251.69747303851236</c:v>
                </c:pt>
                <c:pt idx="11">
                  <c:v>266.79932142082305</c:v>
                </c:pt>
                <c:pt idx="12">
                  <c:v>282.80728070607245</c:v>
                </c:pt>
                <c:pt idx="13">
                  <c:v>299.77571754843677</c:v>
                </c:pt>
                <c:pt idx="14">
                  <c:v>317.76226060134303</c:v>
                </c:pt>
              </c:numCache>
            </c:numRef>
          </c:val>
          <c:smooth val="0"/>
          <c:extLst>
            <c:ext xmlns:c16="http://schemas.microsoft.com/office/drawing/2014/chart" uri="{C3380CC4-5D6E-409C-BE32-E72D297353CC}">
              <c16:uniqueId val="{00000004-87A7-4599-81A9-E0AB73804473}"/>
            </c:ext>
          </c:extLst>
        </c:ser>
        <c:ser>
          <c:idx val="5"/>
          <c:order val="5"/>
          <c:tx>
            <c:strRef>
              <c:f>Sonographers!$A$21</c:f>
              <c:strCache>
                <c:ptCount val="1"/>
                <c:pt idx="0">
                  <c:v>Median Demand Projection</c:v>
                </c:pt>
              </c:strCache>
            </c:strRef>
          </c:tx>
          <c:spPr>
            <a:ln w="25400" cap="sq">
              <a:solidFill>
                <a:schemeClr val="tx1"/>
              </a:solidFill>
              <a:prstDash val="sysDot"/>
              <a:round/>
            </a:ln>
            <a:effectLst/>
          </c:spPr>
          <c:marker>
            <c:symbol val="none"/>
          </c:marker>
          <c:dLbls>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0A4-4B2A-B28E-3C3E3D57CC9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Sonographers!$B$15:$P$15</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Sonographers!$B$21:$P$21</c:f>
              <c:numCache>
                <c:formatCode>#,##0.0</c:formatCode>
                <c:ptCount val="15"/>
                <c:pt idx="5">
                  <c:v>161.45122009227219</c:v>
                </c:pt>
                <c:pt idx="6">
                  <c:v>169.79009883414074</c:v>
                </c:pt>
                <c:pt idx="7">
                  <c:v>178.57538252197463</c:v>
                </c:pt>
                <c:pt idx="8">
                  <c:v>187.83169834138999</c:v>
                </c:pt>
                <c:pt idx="9">
                  <c:v>197.58506482469417</c:v>
                </c:pt>
                <c:pt idx="10">
                  <c:v>207.86297188030943</c:v>
                </c:pt>
                <c:pt idx="11">
                  <c:v>218.6944654859069</c:v>
                </c:pt>
                <c:pt idx="12">
                  <c:v>230.1102373195514</c:v>
                </c:pt>
                <c:pt idx="13">
                  <c:v>242.1427196193942</c:v>
                </c:pt>
                <c:pt idx="14">
                  <c:v>254.82618557965435</c:v>
                </c:pt>
              </c:numCache>
            </c:numRef>
          </c:val>
          <c:smooth val="0"/>
          <c:extLst>
            <c:ext xmlns:c16="http://schemas.microsoft.com/office/drawing/2014/chart" uri="{C3380CC4-5D6E-409C-BE32-E72D297353CC}">
              <c16:uniqueId val="{00000005-87A7-4599-81A9-E0AB73804473}"/>
            </c:ext>
          </c:extLst>
        </c:ser>
        <c:ser>
          <c:idx val="6"/>
          <c:order val="6"/>
          <c:tx>
            <c:strRef>
              <c:f>Sonographers!$A$22</c:f>
              <c:strCache>
                <c:ptCount val="1"/>
                <c:pt idx="0">
                  <c:v>WTE Establishment (non-obstetric Sonographers)</c:v>
                </c:pt>
              </c:strCache>
            </c:strRef>
          </c:tx>
          <c:spPr>
            <a:ln w="28575" cap="rnd">
              <a:solidFill>
                <a:srgbClr val="0070C0"/>
              </a:solidFill>
              <a:round/>
            </a:ln>
            <a:effectLst/>
          </c:spPr>
          <c:marker>
            <c:symbol val="diamond"/>
            <c:size val="8"/>
            <c:spPr>
              <a:solidFill>
                <a:srgbClr val="0070C0"/>
              </a:solidFill>
              <a:ln w="9525">
                <a:solidFill>
                  <a:srgbClr val="0070C0"/>
                </a:solidFill>
              </a:ln>
              <a:effectLst/>
            </c:spPr>
          </c:marker>
          <c:dLbls>
            <c:dLbl>
              <c:idx val="4"/>
              <c:layout>
                <c:manualLayout>
                  <c:x val="-6.4706969865040084E-3"/>
                  <c:y val="-2.417405318291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807-476C-A201-67D276AA030D}"/>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0070C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Sonographers!$B$15:$P$15</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Sonographers!$B$22:$P$22</c:f>
              <c:numCache>
                <c:formatCode>#,##0.0</c:formatCode>
                <c:ptCount val="15"/>
                <c:pt idx="0">
                  <c:v>#N/A</c:v>
                </c:pt>
                <c:pt idx="1">
                  <c:v>#N/A</c:v>
                </c:pt>
                <c:pt idx="2">
                  <c:v>#N/A</c:v>
                </c:pt>
                <c:pt idx="3">
                  <c:v>#N/A</c:v>
                </c:pt>
                <c:pt idx="4">
                  <c:v>148.41</c:v>
                </c:pt>
                <c:pt idx="5">
                  <c:v>#N/A</c:v>
                </c:pt>
                <c:pt idx="6">
                  <c:v>#N/A</c:v>
                </c:pt>
                <c:pt idx="7">
                  <c:v>#N/A</c:v>
                </c:pt>
                <c:pt idx="8">
                  <c:v>#N/A</c:v>
                </c:pt>
                <c:pt idx="9">
                  <c:v>#N/A</c:v>
                </c:pt>
                <c:pt idx="10">
                  <c:v>#N/A</c:v>
                </c:pt>
                <c:pt idx="11">
                  <c:v>#N/A</c:v>
                </c:pt>
                <c:pt idx="12">
                  <c:v>#N/A</c:v>
                </c:pt>
                <c:pt idx="13">
                  <c:v>#N/A</c:v>
                </c:pt>
                <c:pt idx="14">
                  <c:v>#N/A</c:v>
                </c:pt>
              </c:numCache>
            </c:numRef>
          </c:val>
          <c:smooth val="0"/>
          <c:extLst>
            <c:ext xmlns:c16="http://schemas.microsoft.com/office/drawing/2014/chart" uri="{C3380CC4-5D6E-409C-BE32-E72D297353CC}">
              <c16:uniqueId val="{00000006-87A7-4599-81A9-E0AB73804473}"/>
            </c:ext>
          </c:extLst>
        </c:ser>
        <c:ser>
          <c:idx val="7"/>
          <c:order val="7"/>
          <c:tx>
            <c:strRef>
              <c:f>Sonographers!$A$23</c:f>
              <c:strCache>
                <c:ptCount val="1"/>
                <c:pt idx="0">
                  <c:v>WTE Staff In Post (non-obstetric Sonographers)</c:v>
                </c:pt>
              </c:strCache>
            </c:strRef>
          </c:tx>
          <c:spPr>
            <a:ln w="28575" cap="rnd">
              <a:solidFill>
                <a:srgbClr val="00B0F0"/>
              </a:solidFill>
              <a:round/>
            </a:ln>
            <a:effectLst/>
          </c:spPr>
          <c:marker>
            <c:symbol val="triangle"/>
            <c:size val="8"/>
            <c:spPr>
              <a:solidFill>
                <a:srgbClr val="00B0F0"/>
              </a:solidFill>
              <a:ln w="9525">
                <a:solidFill>
                  <a:srgbClr val="00B0F0"/>
                </a:solidFill>
              </a:ln>
              <a:effectLst/>
            </c:spPr>
          </c:marker>
          <c:cat>
            <c:strRef>
              <c:f>Sonographers!$B$15:$P$15</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Sonographers!$B$23:$P$23</c:f>
              <c:numCache>
                <c:formatCode>#,##0.0</c:formatCode>
                <c:ptCount val="15"/>
                <c:pt idx="0">
                  <c:v>#N/A</c:v>
                </c:pt>
                <c:pt idx="1">
                  <c:v>#N/A</c:v>
                </c:pt>
                <c:pt idx="2">
                  <c:v>#N/A</c:v>
                </c:pt>
                <c:pt idx="3">
                  <c:v>#N/A</c:v>
                </c:pt>
                <c:pt idx="4">
                  <c:v>129.69999999999999</c:v>
                </c:pt>
                <c:pt idx="5">
                  <c:v>#N/A</c:v>
                </c:pt>
                <c:pt idx="6">
                  <c:v>#N/A</c:v>
                </c:pt>
                <c:pt idx="7">
                  <c:v>#N/A</c:v>
                </c:pt>
                <c:pt idx="8">
                  <c:v>#N/A</c:v>
                </c:pt>
                <c:pt idx="9">
                  <c:v>#N/A</c:v>
                </c:pt>
                <c:pt idx="10">
                  <c:v>#N/A</c:v>
                </c:pt>
                <c:pt idx="11">
                  <c:v>#N/A</c:v>
                </c:pt>
                <c:pt idx="12">
                  <c:v>#N/A</c:v>
                </c:pt>
                <c:pt idx="13">
                  <c:v>#N/A</c:v>
                </c:pt>
                <c:pt idx="14">
                  <c:v>#N/A</c:v>
                </c:pt>
              </c:numCache>
            </c:numRef>
          </c:val>
          <c:smooth val="0"/>
          <c:extLst>
            <c:ext xmlns:c16="http://schemas.microsoft.com/office/drawing/2014/chart" uri="{C3380CC4-5D6E-409C-BE32-E72D297353CC}">
              <c16:uniqueId val="{00000007-87A7-4599-81A9-E0AB73804473}"/>
            </c:ext>
          </c:extLst>
        </c:ser>
        <c:ser>
          <c:idx val="8"/>
          <c:order val="8"/>
          <c:tx>
            <c:strRef>
              <c:f>Sonographers!$A$24</c:f>
              <c:strCache>
                <c:ptCount val="1"/>
                <c:pt idx="0">
                  <c:v>WTE Staff Employment Forecast (non-obstetric Sonographers)</c:v>
                </c:pt>
              </c:strCache>
            </c:strRef>
          </c:tx>
          <c:spPr>
            <a:ln w="28575" cap="sq">
              <a:solidFill>
                <a:srgbClr val="00B0F0"/>
              </a:solidFill>
              <a:prstDash val="sysDot"/>
              <a:round/>
            </a:ln>
            <a:effectLst/>
          </c:spPr>
          <c:marker>
            <c:symbol val="triangle"/>
            <c:size val="8"/>
            <c:spPr>
              <a:solidFill>
                <a:srgbClr val="00B0F0"/>
              </a:solidFill>
              <a:ln w="9525">
                <a:solidFill>
                  <a:srgbClr val="00B0F0"/>
                </a:solidFill>
              </a:ln>
              <a:effectLst/>
            </c:spPr>
          </c:marker>
          <c:cat>
            <c:strRef>
              <c:f>Sonographers!$B$15:$P$15</c:f>
              <c:strCache>
                <c:ptCount val="15"/>
                <c:pt idx="0">
                  <c:v>2017/18</c:v>
                </c:pt>
                <c:pt idx="1">
                  <c:v>2018/19</c:v>
                </c:pt>
                <c:pt idx="2">
                  <c:v>2019/20</c:v>
                </c:pt>
                <c:pt idx="3">
                  <c:v>2020/21</c:v>
                </c:pt>
                <c:pt idx="4">
                  <c:v>2021/22</c:v>
                </c:pt>
                <c:pt idx="5">
                  <c:v>2022/23</c:v>
                </c:pt>
                <c:pt idx="6">
                  <c:v>2023/24</c:v>
                </c:pt>
                <c:pt idx="7">
                  <c:v>2024/25</c:v>
                </c:pt>
                <c:pt idx="8">
                  <c:v>2025/26</c:v>
                </c:pt>
                <c:pt idx="9">
                  <c:v>2026/27</c:v>
                </c:pt>
                <c:pt idx="10">
                  <c:v>2027/28</c:v>
                </c:pt>
                <c:pt idx="11">
                  <c:v>2028/29</c:v>
                </c:pt>
                <c:pt idx="12">
                  <c:v>2029/30</c:v>
                </c:pt>
                <c:pt idx="13">
                  <c:v>2030/31</c:v>
                </c:pt>
                <c:pt idx="14">
                  <c:v>2031/32</c:v>
                </c:pt>
              </c:strCache>
            </c:strRef>
          </c:cat>
          <c:val>
            <c:numRef>
              <c:f>Sonographers!$B$24:$P$24</c:f>
              <c:numCache>
                <c:formatCode>#,##0.0</c:formatCode>
                <c:ptCount val="1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numCache>
            </c:numRef>
          </c:val>
          <c:smooth val="0"/>
          <c:extLst>
            <c:ext xmlns:c16="http://schemas.microsoft.com/office/drawing/2014/chart" uri="{C3380CC4-5D6E-409C-BE32-E72D297353CC}">
              <c16:uniqueId val="{00000001-6C95-4A46-906D-65DFFB5E13E7}"/>
            </c:ext>
          </c:extLst>
        </c:ser>
        <c:dLbls>
          <c:showLegendKey val="0"/>
          <c:showVal val="0"/>
          <c:showCatName val="0"/>
          <c:showSerName val="0"/>
          <c:showPercent val="0"/>
          <c:showBubbleSize val="0"/>
        </c:dLbls>
        <c:marker val="1"/>
        <c:smooth val="0"/>
        <c:axId val="1412424448"/>
        <c:axId val="1412429856"/>
      </c:lineChart>
      <c:catAx>
        <c:axId val="14124244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412429856"/>
        <c:crosses val="autoZero"/>
        <c:auto val="1"/>
        <c:lblAlgn val="ctr"/>
        <c:lblOffset val="100"/>
        <c:noMultiLvlLbl val="0"/>
      </c:catAx>
      <c:valAx>
        <c:axId val="141242985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4124244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absolute">
    <xdr:from>
      <xdr:col>0</xdr:col>
      <xdr:colOff>47628</xdr:colOff>
      <xdr:row>0</xdr:row>
      <xdr:rowOff>0</xdr:rowOff>
    </xdr:from>
    <xdr:to>
      <xdr:col>2</xdr:col>
      <xdr:colOff>1908</xdr:colOff>
      <xdr:row>0</xdr:row>
      <xdr:rowOff>1247775</xdr:rowOff>
    </xdr:to>
    <xdr:pic>
      <xdr:nvPicPr>
        <xdr:cNvPr id="5" name="Picture 4">
          <a:extLst>
            <a:ext uri="{FF2B5EF4-FFF2-40B4-BE49-F238E27FC236}">
              <a16:creationId xmlns:a16="http://schemas.microsoft.com/office/drawing/2014/main" id="{4A9F9033-F899-4326-A186-AAAB49C6E58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662" b="65809"/>
        <a:stretch/>
      </xdr:blipFill>
      <xdr:spPr>
        <a:xfrm>
          <a:off x="47628" y="0"/>
          <a:ext cx="7772400" cy="1247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47628</xdr:colOff>
      <xdr:row>0</xdr:row>
      <xdr:rowOff>0</xdr:rowOff>
    </xdr:from>
    <xdr:to>
      <xdr:col>4</xdr:col>
      <xdr:colOff>2623188</xdr:colOff>
      <xdr:row>0</xdr:row>
      <xdr:rowOff>1247775</xdr:rowOff>
    </xdr:to>
    <xdr:pic>
      <xdr:nvPicPr>
        <xdr:cNvPr id="2" name="Picture 1">
          <a:extLst>
            <a:ext uri="{FF2B5EF4-FFF2-40B4-BE49-F238E27FC236}">
              <a16:creationId xmlns:a16="http://schemas.microsoft.com/office/drawing/2014/main" id="{31523603-8AB2-4DC9-A0FA-D4FD75F7F78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662" b="65809"/>
        <a:stretch/>
      </xdr:blipFill>
      <xdr:spPr>
        <a:xfrm>
          <a:off x="47628" y="0"/>
          <a:ext cx="7520940" cy="1247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79</xdr:row>
      <xdr:rowOff>76834</xdr:rowOff>
    </xdr:from>
    <xdr:to>
      <xdr:col>10</xdr:col>
      <xdr:colOff>678180</xdr:colOff>
      <xdr:row>109</xdr:row>
      <xdr:rowOff>47584</xdr:rowOff>
    </xdr:to>
    <xdr:graphicFrame macro="">
      <xdr:nvGraphicFramePr>
        <xdr:cNvPr id="2" name="Chart 1">
          <a:extLst>
            <a:ext uri="{FF2B5EF4-FFF2-40B4-BE49-F238E27FC236}">
              <a16:creationId xmlns:a16="http://schemas.microsoft.com/office/drawing/2014/main" id="{3282699D-2173-4CC6-99CE-1C9197038C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6350</xdr:colOff>
      <xdr:row>110</xdr:row>
      <xdr:rowOff>69215</xdr:rowOff>
    </xdr:from>
    <xdr:to>
      <xdr:col>10</xdr:col>
      <xdr:colOff>687705</xdr:colOff>
      <xdr:row>140</xdr:row>
      <xdr:rowOff>36790</xdr:rowOff>
    </xdr:to>
    <xdr:graphicFrame macro="">
      <xdr:nvGraphicFramePr>
        <xdr:cNvPr id="3" name="Chart 2">
          <a:extLst>
            <a:ext uri="{FF2B5EF4-FFF2-40B4-BE49-F238E27FC236}">
              <a16:creationId xmlns:a16="http://schemas.microsoft.com/office/drawing/2014/main" id="{88CC4A79-4613-4A2D-B0F3-BCF6E8C887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178</xdr:row>
      <xdr:rowOff>54610</xdr:rowOff>
    </xdr:from>
    <xdr:to>
      <xdr:col>11</xdr:col>
      <xdr:colOff>7620</xdr:colOff>
      <xdr:row>208</xdr:row>
      <xdr:rowOff>25360</xdr:rowOff>
    </xdr:to>
    <xdr:graphicFrame macro="">
      <xdr:nvGraphicFramePr>
        <xdr:cNvPr id="2" name="Chart 1">
          <a:extLst>
            <a:ext uri="{FF2B5EF4-FFF2-40B4-BE49-F238E27FC236}">
              <a16:creationId xmlns:a16="http://schemas.microsoft.com/office/drawing/2014/main" id="{015AD09F-C93F-4E89-B7E1-715A3285DA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209</xdr:row>
      <xdr:rowOff>85724</xdr:rowOff>
    </xdr:from>
    <xdr:to>
      <xdr:col>11</xdr:col>
      <xdr:colOff>7620</xdr:colOff>
      <xdr:row>239</xdr:row>
      <xdr:rowOff>59649</xdr:rowOff>
    </xdr:to>
    <xdr:graphicFrame macro="">
      <xdr:nvGraphicFramePr>
        <xdr:cNvPr id="3" name="Chart 2">
          <a:extLst>
            <a:ext uri="{FF2B5EF4-FFF2-40B4-BE49-F238E27FC236}">
              <a16:creationId xmlns:a16="http://schemas.microsoft.com/office/drawing/2014/main" id="{8EA7B96C-DC8A-4A2C-93EF-42965267A6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116</xdr:row>
      <xdr:rowOff>0</xdr:rowOff>
    </xdr:from>
    <xdr:to>
      <xdr:col>11</xdr:col>
      <xdr:colOff>7620</xdr:colOff>
      <xdr:row>145</xdr:row>
      <xdr:rowOff>151725</xdr:rowOff>
    </xdr:to>
    <xdr:graphicFrame macro="">
      <xdr:nvGraphicFramePr>
        <xdr:cNvPr id="5" name="Chart 4">
          <a:extLst>
            <a:ext uri="{FF2B5EF4-FFF2-40B4-BE49-F238E27FC236}">
              <a16:creationId xmlns:a16="http://schemas.microsoft.com/office/drawing/2014/main" id="{953BE1F8-8566-4DEA-9DA3-05C436F827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147</xdr:row>
      <xdr:rowOff>0</xdr:rowOff>
    </xdr:from>
    <xdr:to>
      <xdr:col>11</xdr:col>
      <xdr:colOff>10795</xdr:colOff>
      <xdr:row>176</xdr:row>
      <xdr:rowOff>151725</xdr:rowOff>
    </xdr:to>
    <xdr:graphicFrame macro="">
      <xdr:nvGraphicFramePr>
        <xdr:cNvPr id="6" name="Chart 5">
          <a:extLst>
            <a:ext uri="{FF2B5EF4-FFF2-40B4-BE49-F238E27FC236}">
              <a16:creationId xmlns:a16="http://schemas.microsoft.com/office/drawing/2014/main" id="{52C44F26-35B5-4BED-9AD0-A9C9FAB5C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9524</xdr:colOff>
      <xdr:row>24</xdr:row>
      <xdr:rowOff>39368</xdr:rowOff>
    </xdr:from>
    <xdr:to>
      <xdr:col>11</xdr:col>
      <xdr:colOff>9524</xdr:colOff>
      <xdr:row>52</xdr:row>
      <xdr:rowOff>53339</xdr:rowOff>
    </xdr:to>
    <xdr:graphicFrame macro="">
      <xdr:nvGraphicFramePr>
        <xdr:cNvPr id="2" name="Chart 1">
          <a:extLst>
            <a:ext uri="{FF2B5EF4-FFF2-40B4-BE49-F238E27FC236}">
              <a16:creationId xmlns:a16="http://schemas.microsoft.com/office/drawing/2014/main" id="{B26F2379-E929-4F7A-8857-D775BBCE17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Amy Currie" id="{D9CA55A6-669D-4423-ABA5-1154E23497DA}" userId="S::Amy.Currie2@nss.nhs.scot::4be2a4bb-98ee-4def-b9c2-cf03358acbb3"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4FFDD27-012D-408A-B105-CB219E297D80}" name="Table2" displayName="Table2" ref="B5:T35" totalsRowShown="0" headerRowDxfId="28" dataDxfId="27">
  <tableColumns count="19">
    <tableColumn id="1" xr3:uid="{A953A0D8-1A4F-4FD3-8708-5722E712C44F}" name="Staff Group" dataDxfId="26"/>
    <tableColumn id="2" xr3:uid="{F1C19CDC-A68A-4C06-B6D6-D7875A69606A}" name="Grade / Band" dataDxfId="25"/>
    <tableColumn id="3" xr3:uid="{9FA2912A-A21F-4FC8-9F8F-EC8FA94DDF6D}" name="Type" dataDxfId="24"/>
    <tableColumn id="20" xr3:uid="{37C8ECDC-A05A-4A54-A2ED-D0C23621053B}" name="Graph Indicator" dataDxfId="23"/>
    <tableColumn id="4" xr3:uid="{6F4815D1-A0AA-4EFC-B144-B2B144817BF6}" name="FY 2017/18" dataDxfId="22" dataCellStyle="Normal 2"/>
    <tableColumn id="5" xr3:uid="{A12BEA02-DFB5-4028-8137-670607A71F85}" name="FY 2018/19" dataDxfId="21" dataCellStyle="Normal 2"/>
    <tableColumn id="6" xr3:uid="{9423D730-1311-4D78-AE64-7FCC0D2F268D}" name="FY 2019/20" dataDxfId="20" dataCellStyle="Normal 2"/>
    <tableColumn id="7" xr3:uid="{255B690C-553A-47EA-9214-6B662C7DFC28}" name="FY 2020/21" dataDxfId="19" dataCellStyle="Normal 2"/>
    <tableColumn id="8" xr3:uid="{A577AA0A-F458-4200-80F3-DCB03C247F06}" name="FY 2021/22" dataDxfId="18" dataCellStyle="Normal 2"/>
    <tableColumn id="9" xr3:uid="{E799EDA8-18F8-4D30-B652-4CE346FE1456}" name="FY 2022/23" dataDxfId="17" dataCellStyle="Normal 2"/>
    <tableColumn id="10" xr3:uid="{95BD11C6-DB8F-4147-B8FC-5D3C2BDD7D5B}" name="FY 2023/24" dataDxfId="16" dataCellStyle="Normal 2"/>
    <tableColumn id="11" xr3:uid="{F8C888B0-0744-4C2E-82F2-AEC32AC56828}" name="FY 2024/25" dataDxfId="15" dataCellStyle="Normal 2"/>
    <tableColumn id="12" xr3:uid="{12F273AE-B95E-49C0-9398-713F65E0178F}" name="FY 2025/26" dataDxfId="14" dataCellStyle="Normal 2"/>
    <tableColumn id="13" xr3:uid="{407C437C-C66A-4E13-AFC5-7391064A6482}" name="FY 2026/27" dataDxfId="13" dataCellStyle="Normal 2"/>
    <tableColumn id="14" xr3:uid="{1EC591C5-08CD-4572-8818-5453A7586EC4}" name="FY 2027/28" dataDxfId="12" dataCellStyle="Normal 2"/>
    <tableColumn id="15" xr3:uid="{1803B51A-1842-4165-A4E2-1A7ED93C59B9}" name="FY 2028/29" dataDxfId="11" dataCellStyle="Normal 2"/>
    <tableColumn id="16" xr3:uid="{36A00C0F-6F0C-41FE-A263-818E2E141BA1}" name="FY 2029/30" dataDxfId="10" dataCellStyle="Normal 2"/>
    <tableColumn id="17" xr3:uid="{7D659B3C-A8CC-41D3-8B13-3AC318A76D60}" name="FY 2030/31" dataDxfId="9" dataCellStyle="Normal 2"/>
    <tableColumn id="18" xr3:uid="{75A1372E-B598-42DB-9EEF-A90051A36C5E}" name="FY 2031/32" dataDxfId="8" dataCellStyle="Normal 2"/>
  </tableColumns>
  <tableStyleInfo name="TableStyleLight8" showFirstColumn="0" showLastColumn="0" showRowStripes="1"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7B665EC-BC4C-444F-B19F-87497D527F3C}" name="Table1" displayName="Table1" ref="B5:G36" totalsRowShown="0" headerRowDxfId="7" dataDxfId="6">
  <autoFilter ref="B5:G36" xr:uid="{87B665EC-BC4C-444F-B19F-87497D527F3C}"/>
  <tableColumns count="6">
    <tableColumn id="1" xr3:uid="{F0BFD45D-8F5B-476E-94F0-F5F6E87C422A}" name="Main Sheet Location" dataDxfId="5"/>
    <tableColumn id="2" xr3:uid="{F144341B-6BE3-4CAC-A1E9-6DE1C0F4E4C5}" name="Name" dataDxfId="4"/>
    <tableColumn id="3" xr3:uid="{6344A88F-5AA8-4F29-8A94-B1BDC4E3C017}" name="Description" dataDxfId="3"/>
    <tableColumn id="4" xr3:uid="{2CBBF328-BB2A-43A0-AD44-243469E382EF}" name="Agreed Metric or Assumption (National Model v1.0)" dataDxfId="2"/>
    <tableColumn id="5" xr3:uid="{8EE7645D-DF8F-4706-9F27-CEDE00B0901D}" name="Source" dataDxfId="1"/>
    <tableColumn id="6" xr3:uid="{348C27FC-7DE7-4178-B843-B8A0507CC5AF}" name="Links" dataDxfId="0"/>
  </tableColumns>
  <tableStyleInfo name="TableStyleLight8"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T4" dT="2022-12-19T11:58:49.55" personId="{D9CA55A6-669D-4423-ABA5-1154E23497DA}" id="{2B7F5B41-1AEC-4374-8FCA-80C984EDCE72}">
    <text>NHS GGC and NHS Lothian cover populations &lt;1m and therefore require minimum 8 IR</text>
  </threadedComment>
  <threadedComment ref="W6" dT="2022-12-19T12:36:25.57" personId="{D9CA55A6-669D-4423-ABA5-1154E23497DA}" id="{24204304-9359-4CE5-88C6-922F8774985A}">
    <text>Suggested 1:1 match (100%) with staff undertaking US to achieve the most effective support for better throughput</text>
  </threadedComment>
  <threadedComment ref="Y6" dT="2022-12-19T12:37:03.41" personId="{D9CA55A6-669D-4423-ABA5-1154E23497DA}" id="{55F57B24-5E65-476C-8E2D-B92FB15E588C}">
    <text>Suggested 30% of Band 5 workforce from national analysis</text>
  </threadedComment>
  <threadedComment ref="AA6" dT="2022-12-19T12:37:03.41" personId="{D9CA55A6-669D-4423-ABA5-1154E23497DA}" id="{7BBE581B-758D-43D7-84AD-AC557ECB4D07}">
    <text>Suggested 14% pro rata from national analysis</text>
  </threadedComment>
  <threadedComment ref="T10" dT="2022-10-28T14:54:02.74" personId="{D9CA55A6-669D-4423-ABA5-1154E23497DA}" id="{6A2D9B77-29F4-4BB0-B966-9EE33D294E4F}">
    <text>NHS Islands Boards and NHS Borders have formal arrangements in place for another Board to provide their IR cover</text>
  </threadedComment>
  <threadedComment ref="U13" dT="2022-12-19T12:34:49.96" personId="{D9CA55A6-669D-4423-ABA5-1154E23497DA}" id="{D0167487-3557-410A-ACBA-4A160AA2B552}">
    <text>e.g. 100% means a 1:1 match with the calculated Diagnostic Radiographer staff required for Interventional labs and Cardiology labs</text>
  </threadedComment>
  <threadedComment ref="W13" dT="2022-12-19T12:37:03.41" personId="{D9CA55A6-669D-4423-ABA5-1154E23497DA}" id="{8C3E1005-8130-4F99-B0C1-A9C9185C7BD3}">
    <text>Suggested 30% of Band 6 workforce from national analysis</text>
  </threadedComment>
</ThreadedComments>
</file>

<file path=xl/threadedComments/threadedComment2.xml><?xml version="1.0" encoding="utf-8"?>
<ThreadedComments xmlns="http://schemas.microsoft.com/office/spreadsheetml/2018/threadedcomments" xmlns:x="http://schemas.openxmlformats.org/spreadsheetml/2006/main">
  <threadedComment ref="D20" dT="2022-12-20T11:34:19.30" personId="{D9CA55A6-669D-4423-ABA5-1154E23497DA}" id="{13F2E3BF-04FA-4DB9-8E03-06065D46E6BE}">
    <text>NES projected DR forecast 1% Growth or 1.4% Growth year-on-year</text>
  </threadedComment>
  <threadedComment ref="D23" dT="2022-12-20T11:34:19.30" personId="{D9CA55A6-669D-4423-ABA5-1154E23497DA}" id="{3307C20C-A27C-44C0-8B46-2416845BF5F6}">
    <text>NES projected DR forecast 1% Growth or 1.4% Growth year-on-year</text>
  </threadedComment>
  <threadedComment ref="D26" dT="2022-12-20T11:34:19.30" personId="{D9CA55A6-669D-4423-ABA5-1154E23497DA}" id="{49DC17C9-8E91-42C6-8E12-08C43B7F1B9F}">
    <text>NES projected DR forecast 1% Growth or 1.4% Growth year-on-year</text>
  </threadedComment>
  <threadedComment ref="D29" dT="2022-12-20T11:34:19.30" personId="{D9CA55A6-669D-4423-ABA5-1154E23497DA}" id="{5EFD84B4-2FAF-4098-A998-7CB10DC49816}">
    <text>NES projected DR forecast 1% Growth or 1.4% Growth year-on-year</text>
  </threadedComment>
  <threadedComment ref="D32" dT="2022-12-20T11:34:19.30" personId="{D9CA55A6-669D-4423-ABA5-1154E23497DA}" id="{AA597380-89F4-47A9-A7D6-8EA299BF7633}">
    <text>NES projected DR forecast 1% Growth or 1.4% Growth year-on-year</text>
  </threadedComment>
  <threadedComment ref="D35" dT="2022-12-20T11:34:19.30" personId="{D9CA55A6-669D-4423-ABA5-1154E23497DA}" id="{B1C854F9-B973-4D47-B148-E219A58DFED3}">
    <text>NES projected DR forecast 1% Growth or 1.4% Growth year-on-year</text>
  </threadedComment>
</ThreadedComments>
</file>

<file path=xl/threadedComments/threadedComment3.xml><?xml version="1.0" encoding="utf-8"?>
<ThreadedComments xmlns="http://schemas.microsoft.com/office/spreadsheetml/2018/threadedcomments" xmlns:x="http://schemas.openxmlformats.org/spreadsheetml/2006/main">
  <threadedComment ref="A62" dT="2022-12-20T09:24:55.60" personId="{D9CA55A6-669D-4423-ABA5-1154E23497DA}" id="{5D42BE95-737C-4BC8-AFD0-04975D39E80D}">
    <text>These hidden tables are set to automatically pull data from elsewhere within the modelling in order to populate the associated graphs</text>
  </threadedComment>
</ThreadedComments>
</file>

<file path=xl/threadedComments/threadedComment4.xml><?xml version="1.0" encoding="utf-8"?>
<ThreadedComments xmlns="http://schemas.microsoft.com/office/spreadsheetml/2018/threadedcomments" xmlns:x="http://schemas.openxmlformats.org/spreadsheetml/2006/main">
  <threadedComment ref="A64" dT="2022-12-20T09:24:55.60" personId="{D9CA55A6-669D-4423-ABA5-1154E23497DA}" id="{4E286A9C-37F5-4341-A762-B1CA1EB3D488}">
    <text>These hidden tables are set to automatically pull data from elsewhere within the modelling in order to populate the associated graphs</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ss.s.r.t.p@nhs.sco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viz.nhsnss.scot.nhs.uk/" TargetMode="External"/><Relationship Id="rId2" Type="http://schemas.openxmlformats.org/officeDocument/2006/relationships/hyperlink" Target="https://www.scin.scot.nhs.uk/wp-content/uploads/2019/05/National-Framework-for-Reporting-Radiographer-v1-0-2.pdf" TargetMode="External"/><Relationship Id="rId1" Type="http://schemas.openxmlformats.org/officeDocument/2006/relationships/hyperlink" Target="https://www.rcr.ac.uk/system/files/publication/field_publication_files/BFCR%2812%2912_workload_0.pdf" TargetMode="External"/><Relationship Id="rId6" Type="http://schemas.openxmlformats.org/officeDocument/2006/relationships/table" Target="../tables/table2.xml"/><Relationship Id="rId5" Type="http://schemas.openxmlformats.org/officeDocument/2006/relationships/printerSettings" Target="../printerSettings/printerSettings11.bin"/><Relationship Id="rId4" Type="http://schemas.openxmlformats.org/officeDocument/2006/relationships/hyperlink" Target="https://www.cqc.org.uk/sites/default/files/20180718-radiology-reporting-review-report-final-for-web.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nss.s.r.t.p@nhs.scot"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hyperlink" Target="https://turasdata.nes.nhs.scot/data-and-reports/official-workforce-statistics/?pageid=1243"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B0F83-792F-4FCF-A2C2-EF41AF403093}">
  <sheetPr>
    <tabColor theme="1"/>
  </sheetPr>
  <dimension ref="A1:R28"/>
  <sheetViews>
    <sheetView showGridLines="0" tabSelected="1" zoomScaleNormal="100" workbookViewId="0">
      <selection activeCell="A6" sqref="A6"/>
    </sheetView>
  </sheetViews>
  <sheetFormatPr defaultColWidth="8.796875" defaultRowHeight="14.25" x14ac:dyDescent="0.45"/>
  <cols>
    <col min="1" max="1" width="4.796875" style="86" customWidth="1"/>
    <col min="2" max="2" width="105.53125" style="86" customWidth="1"/>
    <col min="3" max="3" width="8.796875" style="86" customWidth="1"/>
    <col min="4" max="16384" width="8.796875" style="86"/>
  </cols>
  <sheetData>
    <row r="1" spans="1:18" ht="110.75" customHeight="1" x14ac:dyDescent="0.45">
      <c r="A1" s="85"/>
      <c r="B1" s="85"/>
      <c r="C1" s="85"/>
      <c r="D1" s="85"/>
      <c r="E1" s="85"/>
      <c r="F1" s="85"/>
      <c r="G1" s="85"/>
      <c r="H1" s="85"/>
      <c r="I1" s="85"/>
      <c r="J1" s="85"/>
      <c r="K1" s="85"/>
      <c r="L1" s="85"/>
      <c r="M1" s="85"/>
      <c r="N1" s="85"/>
      <c r="O1" s="85"/>
      <c r="P1" s="85"/>
      <c r="Q1" s="85"/>
      <c r="R1" s="85"/>
    </row>
    <row r="2" spans="1:18" s="4" customFormat="1" ht="30" customHeight="1" x14ac:dyDescent="0.35">
      <c r="B2" s="166" t="s">
        <v>322</v>
      </c>
    </row>
    <row r="3" spans="1:18" s="4" customFormat="1" ht="14.55" customHeight="1" x14ac:dyDescent="0.35">
      <c r="B3" s="4" t="s">
        <v>523</v>
      </c>
    </row>
    <row r="4" spans="1:18" x14ac:dyDescent="0.45">
      <c r="A4" s="89"/>
      <c r="C4" s="87"/>
      <c r="D4" s="85"/>
      <c r="E4" s="85"/>
      <c r="F4" s="85"/>
      <c r="G4" s="85"/>
      <c r="H4" s="85"/>
      <c r="I4" s="85"/>
      <c r="J4" s="85"/>
      <c r="K4" s="85"/>
      <c r="L4" s="85"/>
      <c r="M4" s="85"/>
      <c r="N4" s="85"/>
      <c r="O4" s="85"/>
      <c r="P4" s="85"/>
      <c r="Q4" s="85"/>
      <c r="R4" s="85"/>
    </row>
    <row r="5" spans="1:18" s="181" customFormat="1" ht="14.55" customHeight="1" x14ac:dyDescent="0.35">
      <c r="A5" s="89"/>
      <c r="B5" s="186" t="s">
        <v>340</v>
      </c>
      <c r="C5" s="87"/>
      <c r="D5" s="88"/>
      <c r="E5" s="88"/>
      <c r="F5" s="88"/>
      <c r="G5" s="88"/>
      <c r="H5" s="88"/>
      <c r="I5" s="88"/>
      <c r="J5" s="88"/>
      <c r="K5" s="88"/>
      <c r="L5" s="88"/>
      <c r="M5" s="88"/>
      <c r="N5" s="88"/>
      <c r="O5" s="88"/>
      <c r="P5" s="88"/>
      <c r="Q5" s="88"/>
      <c r="R5" s="88"/>
    </row>
    <row r="6" spans="1:18" s="181" customFormat="1" ht="14.55" customHeight="1" x14ac:dyDescent="0.35"/>
    <row r="7" spans="1:18" s="181" customFormat="1" ht="23.25" x14ac:dyDescent="0.35">
      <c r="B7" s="182" t="s">
        <v>514</v>
      </c>
    </row>
    <row r="8" spans="1:18" s="181" customFormat="1" ht="14.55" customHeight="1" x14ac:dyDescent="0.35">
      <c r="B8" s="182"/>
    </row>
    <row r="9" spans="1:18" s="181" customFormat="1" ht="14.55" customHeight="1" x14ac:dyDescent="0.35">
      <c r="B9" s="182" t="s">
        <v>336</v>
      </c>
    </row>
    <row r="10" spans="1:18" s="181" customFormat="1" ht="14.55" customHeight="1" x14ac:dyDescent="0.35">
      <c r="B10" s="182"/>
    </row>
    <row r="11" spans="1:18" s="181" customFormat="1" ht="23.25" x14ac:dyDescent="0.35">
      <c r="B11" s="182" t="s">
        <v>337</v>
      </c>
    </row>
    <row r="12" spans="1:18" s="181" customFormat="1" ht="14.55" customHeight="1" x14ac:dyDescent="0.35">
      <c r="B12" s="182"/>
    </row>
    <row r="13" spans="1:18" s="181" customFormat="1" ht="34.9" x14ac:dyDescent="0.35">
      <c r="B13" s="182" t="s">
        <v>515</v>
      </c>
    </row>
    <row r="14" spans="1:18" s="181" customFormat="1" ht="14.55" customHeight="1" x14ac:dyDescent="0.35">
      <c r="B14" s="182"/>
    </row>
    <row r="15" spans="1:18" s="181" customFormat="1" ht="23.25" x14ac:dyDescent="0.35">
      <c r="B15" s="182" t="s">
        <v>516</v>
      </c>
    </row>
    <row r="16" spans="1:18" s="181" customFormat="1" ht="14.55" customHeight="1" x14ac:dyDescent="0.35">
      <c r="B16" s="182"/>
    </row>
    <row r="17" spans="2:2" s="181" customFormat="1" ht="34.9" x14ac:dyDescent="0.35">
      <c r="B17" s="182" t="s">
        <v>339</v>
      </c>
    </row>
    <row r="18" spans="2:2" s="181" customFormat="1" ht="11.65" x14ac:dyDescent="0.35">
      <c r="B18" s="182"/>
    </row>
    <row r="19" spans="2:2" s="181" customFormat="1" ht="14.55" customHeight="1" x14ac:dyDescent="0.35">
      <c r="B19" s="182" t="s">
        <v>341</v>
      </c>
    </row>
    <row r="20" spans="2:2" s="181" customFormat="1" ht="14.55" customHeight="1" x14ac:dyDescent="0.35">
      <c r="B20" s="182"/>
    </row>
    <row r="21" spans="2:2" s="181" customFormat="1" ht="34.9" x14ac:dyDescent="0.35">
      <c r="B21" s="182" t="s">
        <v>346</v>
      </c>
    </row>
    <row r="22" spans="2:2" s="181" customFormat="1" ht="14.55" customHeight="1" x14ac:dyDescent="0.35"/>
    <row r="23" spans="2:2" s="181" customFormat="1" ht="14.55" customHeight="1" x14ac:dyDescent="0.35">
      <c r="B23" s="183" t="s">
        <v>335</v>
      </c>
    </row>
    <row r="24" spans="2:2" s="181" customFormat="1" ht="14.55" customHeight="1" x14ac:dyDescent="0.35">
      <c r="B24" s="4" t="s">
        <v>334</v>
      </c>
    </row>
    <row r="25" spans="2:2" s="181" customFormat="1" ht="14.55" customHeight="1" x14ac:dyDescent="0.35">
      <c r="B25" s="182" t="s">
        <v>338</v>
      </c>
    </row>
    <row r="26" spans="2:2" s="181" customFormat="1" ht="14.55" customHeight="1" x14ac:dyDescent="0.35">
      <c r="B26" s="182"/>
    </row>
    <row r="27" spans="2:2" s="181" customFormat="1" ht="14.55" customHeight="1" x14ac:dyDescent="0.35"/>
    <row r="28" spans="2:2" s="181" customFormat="1" ht="14.55" customHeight="1" x14ac:dyDescent="0.35"/>
  </sheetData>
  <hyperlinks>
    <hyperlink ref="B23" r:id="rId1" xr:uid="{FB34D26C-920D-4FA8-841B-D2934D10E2E5}"/>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35F67-1D6E-4067-8953-78AD0FF6ED81}">
  <sheetPr>
    <tabColor rgb="FF00B0F0"/>
  </sheetPr>
  <dimension ref="A1:Q24"/>
  <sheetViews>
    <sheetView showGridLines="0" zoomScaleNormal="100" workbookViewId="0"/>
  </sheetViews>
  <sheetFormatPr defaultColWidth="8.796875" defaultRowHeight="14.25" x14ac:dyDescent="0.45"/>
  <cols>
    <col min="1" max="1" width="23.19921875" style="7" bestFit="1" customWidth="1"/>
    <col min="2" max="2" width="13.796875" style="7" bestFit="1" customWidth="1"/>
    <col min="3" max="3" width="18.796875" style="7" bestFit="1" customWidth="1"/>
    <col min="4" max="4" width="18.53125" style="7" bestFit="1" customWidth="1"/>
    <col min="5" max="7" width="18" style="7" bestFit="1" customWidth="1"/>
    <col min="8" max="11" width="18" style="7" customWidth="1"/>
    <col min="12" max="16" width="18" style="7" bestFit="1" customWidth="1"/>
    <col min="17" max="17" width="18.796875" style="7" bestFit="1" customWidth="1"/>
    <col min="18" max="18" width="18" style="7" bestFit="1" customWidth="1"/>
    <col min="19" max="16384" width="8.796875" style="7"/>
  </cols>
  <sheetData>
    <row r="1" spans="1:17" s="68" customFormat="1" x14ac:dyDescent="0.45">
      <c r="A1" s="66"/>
      <c r="B1" s="66"/>
      <c r="C1" s="67"/>
    </row>
    <row r="2" spans="1:17" ht="30" customHeight="1" x14ac:dyDescent="0.45">
      <c r="A2" s="146" t="s">
        <v>158</v>
      </c>
      <c r="B2" s="27"/>
      <c r="C2" s="27"/>
      <c r="D2" s="3"/>
      <c r="E2" s="3"/>
      <c r="F2" s="3"/>
      <c r="G2" s="3"/>
      <c r="H2" s="3"/>
    </row>
    <row r="3" spans="1:17" x14ac:dyDescent="0.45">
      <c r="A3" s="65" t="s">
        <v>69</v>
      </c>
      <c r="B3"/>
      <c r="C3" s="324" t="s">
        <v>47</v>
      </c>
      <c r="D3" s="324"/>
      <c r="E3" s="324"/>
      <c r="F3" s="324"/>
      <c r="G3" s="324"/>
      <c r="H3" s="333" t="s">
        <v>64</v>
      </c>
      <c r="I3" s="333"/>
      <c r="J3" s="333"/>
      <c r="K3" s="333"/>
      <c r="L3" s="333"/>
      <c r="M3" s="333"/>
      <c r="N3" s="333"/>
      <c r="O3" s="333"/>
      <c r="P3" s="333"/>
      <c r="Q3" s="333"/>
    </row>
    <row r="4" spans="1:17" x14ac:dyDescent="0.45">
      <c r="A4" s="25" t="s">
        <v>52</v>
      </c>
      <c r="B4" s="25" t="s">
        <v>50</v>
      </c>
      <c r="C4" s="8" t="s">
        <v>35</v>
      </c>
      <c r="D4" s="8" t="s">
        <v>36</v>
      </c>
      <c r="E4" s="8" t="s">
        <v>7</v>
      </c>
      <c r="F4" s="8" t="s">
        <v>37</v>
      </c>
      <c r="G4" s="8" t="s">
        <v>38</v>
      </c>
      <c r="H4" s="8" t="s">
        <v>41</v>
      </c>
      <c r="I4" s="8" t="s">
        <v>42</v>
      </c>
      <c r="J4" s="8" t="s">
        <v>43</v>
      </c>
      <c r="K4" s="8" t="s">
        <v>44</v>
      </c>
      <c r="L4" s="8" t="s">
        <v>45</v>
      </c>
      <c r="M4" s="8" t="s">
        <v>59</v>
      </c>
      <c r="N4" s="8" t="s">
        <v>60</v>
      </c>
      <c r="O4" s="8" t="s">
        <v>70</v>
      </c>
      <c r="P4" s="8" t="s">
        <v>71</v>
      </c>
      <c r="Q4" s="8" t="s">
        <v>72</v>
      </c>
    </row>
    <row r="5" spans="1:17" s="3" customFormat="1" ht="14.55" customHeight="1" x14ac:dyDescent="0.35">
      <c r="A5" s="77" t="s">
        <v>132</v>
      </c>
      <c r="B5" s="342" t="s">
        <v>33</v>
      </c>
      <c r="C5" s="257">
        <f>(('Input - Activity and Demand'!B$9*'Input - Modelling Variables'!$C$38)*'Input - Throughput'!$R$15)/'Input - Capacity'!$L$15</f>
        <v>157.86476355247981</v>
      </c>
      <c r="D5" s="257">
        <f>(('Input - Activity and Demand'!C$9*'Input - Modelling Variables'!$C$38)*'Input - Throughput'!$R$15)/'Input - Capacity'!$L$15</f>
        <v>157.99192618223759</v>
      </c>
      <c r="E5" s="257">
        <f>(('Input - Activity and Demand'!D$9*'Input - Modelling Variables'!$C$38)*'Input - Throughput'!$R$15)/'Input - Capacity'!$L$15</f>
        <v>154.45559400230681</v>
      </c>
      <c r="F5" s="257">
        <f>(('Input - Activity and Demand'!E$9*'Input - Modelling Variables'!$C$38)*'Input - Throughput'!$R$15)/'Input - Capacity'!$L$15</f>
        <v>116.32151095732411</v>
      </c>
      <c r="G5" s="257">
        <f>(('Input - Activity and Demand'!F$9*'Input - Modelling Variables'!$C$38)*'Input - Throughput'!$R$15)/'Input - Capacity'!$L$15</f>
        <v>129.6340830449827</v>
      </c>
      <c r="H5" s="29">
        <f>(('Input - Activity and Demand'!G$23*'Input - Modelling Variables'!$C$38)*'Input - Throughput'!$R$15)/'Input - Capacity'!$L$15</f>
        <v>134.81944636678202</v>
      </c>
      <c r="I5" s="29">
        <f>(('Input - Activity and Demand'!H$23*'Input - Modelling Variables'!$C$38)*'Input - Throughput'!$R$15)/'Input - Capacity'!$L$15</f>
        <v>140.21222422145328</v>
      </c>
      <c r="J5" s="29">
        <f>(('Input - Activity and Demand'!I$23*'Input - Modelling Variables'!$C$38)*'Input - Throughput'!$R$15)/'Input - Capacity'!$L$15</f>
        <v>145.82071319031144</v>
      </c>
      <c r="K5" s="29">
        <f>(('Input - Activity and Demand'!J$23*'Input - Modelling Variables'!$C$38)*'Input - Throughput'!$R$15)/'Input - Capacity'!$L$15</f>
        <v>151.6535417179239</v>
      </c>
      <c r="L5" s="29">
        <f>(('Input - Activity and Demand'!K$23*'Input - Modelling Variables'!$C$38)*'Input - Throughput'!$R$15)/'Input - Capacity'!$L$15</f>
        <v>157.71968338664087</v>
      </c>
      <c r="M5" s="29">
        <f>(('Input - Activity and Demand'!L$23*'Input - Modelling Variables'!$C$38)*'Input - Throughput'!$R$15)/'Input - Capacity'!$L$15</f>
        <v>164.0284707221065</v>
      </c>
      <c r="N5" s="29">
        <f>(('Input - Activity and Demand'!M$23*'Input - Modelling Variables'!$C$38)*'Input - Throughput'!$R$15)/'Input - Capacity'!$L$15</f>
        <v>170.58960955099079</v>
      </c>
      <c r="O5" s="29">
        <f>(('Input - Activity and Demand'!N$23*'Input - Modelling Variables'!$C$38)*'Input - Throughput'!$R$15)/'Input - Capacity'!$L$15</f>
        <v>177.41319393303039</v>
      </c>
      <c r="P5" s="29">
        <f>(('Input - Activity and Demand'!O$23*'Input - Modelling Variables'!$C$38)*'Input - Throughput'!$R$15)/'Input - Capacity'!$L$15</f>
        <v>184.5097216903516</v>
      </c>
      <c r="Q5" s="29">
        <f>(('Input - Activity and Demand'!P$23*'Input - Modelling Variables'!$C$38)*'Input - Throughput'!$R$15)/'Input - Capacity'!$L$15</f>
        <v>191.8901105579657</v>
      </c>
    </row>
    <row r="6" spans="1:17" s="3" customFormat="1" ht="14.55" customHeight="1" x14ac:dyDescent="0.35">
      <c r="A6" s="77" t="s">
        <v>133</v>
      </c>
      <c r="B6" s="343"/>
      <c r="C6" s="258"/>
      <c r="D6" s="258"/>
      <c r="E6" s="258"/>
      <c r="F6" s="258"/>
      <c r="G6" s="258"/>
      <c r="H6" s="29">
        <f>(('Input - Activity and Demand'!G$24*'Input - Modelling Variables'!$C$38)*'Input - Throughput'!$R$15)/'Input - Capacity'!$L$15</f>
        <v>137.41212802768166</v>
      </c>
      <c r="I6" s="29">
        <f>(('Input - Activity and Demand'!H$24*'Input - Modelling Variables'!$C$38)*'Input - Throughput'!$R$15)/'Input - Capacity'!$L$15</f>
        <v>145.65685570934258</v>
      </c>
      <c r="J6" s="29">
        <f>(('Input - Activity and Demand'!I$24*'Input - Modelling Variables'!$C$38)*'Input - Throughput'!$R$15)/'Input - Capacity'!$L$15</f>
        <v>154.39626705190312</v>
      </c>
      <c r="K6" s="29">
        <f>(('Input - Activity and Demand'!J$24*'Input - Modelling Variables'!$C$38)*'Input - Throughput'!$R$15)/'Input - Capacity'!$L$15</f>
        <v>163.66004307501731</v>
      </c>
      <c r="L6" s="29">
        <f>(('Input - Activity and Demand'!K$24*'Input - Modelling Variables'!$C$38)*'Input - Throughput'!$R$15)/'Input - Capacity'!$L$15</f>
        <v>173.47964565951838</v>
      </c>
      <c r="M6" s="29">
        <f>(('Input - Activity and Demand'!L$24*'Input - Modelling Variables'!$C$38)*'Input - Throughput'!$R$15)/'Input - Capacity'!$L$15</f>
        <v>183.88842439908947</v>
      </c>
      <c r="N6" s="29">
        <f>(('Input - Activity and Demand'!M$24*'Input - Modelling Variables'!$C$38)*'Input - Throughput'!$R$15)/'Input - Capacity'!$L$15</f>
        <v>194.92172986303484</v>
      </c>
      <c r="O6" s="29">
        <f>(('Input - Activity and Demand'!N$24*'Input - Modelling Variables'!$C$38)*'Input - Throughput'!$R$15)/'Input - Capacity'!$L$15</f>
        <v>206.61703365481694</v>
      </c>
      <c r="P6" s="29">
        <f>(('Input - Activity and Demand'!O$24*'Input - Modelling Variables'!$C$38)*'Input - Throughput'!$R$15)/'Input - Capacity'!$L$15</f>
        <v>219.01405567410595</v>
      </c>
      <c r="Q6" s="29">
        <f>(('Input - Activity and Demand'!P$24*'Input - Modelling Variables'!$C$38)*'Input - Throughput'!$R$15)/'Input - Capacity'!$L$15</f>
        <v>232.15489901455234</v>
      </c>
    </row>
    <row r="7" spans="1:17" ht="20" customHeight="1" x14ac:dyDescent="0.45">
      <c r="A7" s="27"/>
      <c r="B7" s="27"/>
      <c r="C7" s="27"/>
      <c r="D7" s="27"/>
      <c r="E7" s="27"/>
      <c r="F7" s="27"/>
      <c r="G7" s="27"/>
      <c r="H7" s="27"/>
      <c r="I7" s="27"/>
      <c r="J7" s="27"/>
      <c r="K7" s="27"/>
      <c r="L7" s="27"/>
      <c r="M7" s="27"/>
      <c r="N7" s="27"/>
      <c r="O7" s="27"/>
    </row>
    <row r="8" spans="1:17" s="61" customFormat="1" ht="30" customHeight="1" x14ac:dyDescent="0.45">
      <c r="A8" s="146" t="s">
        <v>159</v>
      </c>
      <c r="B8" s="1"/>
      <c r="C8" s="60"/>
      <c r="D8" s="60"/>
      <c r="E8" s="60"/>
      <c r="F8" s="60"/>
      <c r="G8" s="60"/>
      <c r="H8" s="60"/>
      <c r="I8" s="60"/>
      <c r="J8" s="60"/>
      <c r="K8" s="60"/>
      <c r="L8" s="60"/>
    </row>
    <row r="9" spans="1:17" s="61" customFormat="1" x14ac:dyDescent="0.45">
      <c r="A9" s="64" t="s">
        <v>40</v>
      </c>
      <c r="B9" s="62"/>
      <c r="C9" s="324" t="s">
        <v>58</v>
      </c>
      <c r="D9" s="324"/>
      <c r="E9" s="333" t="s">
        <v>65</v>
      </c>
      <c r="F9" s="333"/>
      <c r="G9" s="333"/>
      <c r="H9" s="333"/>
      <c r="I9" s="333"/>
      <c r="J9" s="333"/>
      <c r="K9" s="333"/>
      <c r="L9" s="333"/>
      <c r="M9" s="333"/>
      <c r="N9" s="333"/>
      <c r="O9" s="333"/>
      <c r="P9" s="333"/>
      <c r="Q9" s="333"/>
    </row>
    <row r="10" spans="1:17" x14ac:dyDescent="0.45">
      <c r="A10" s="25" t="s">
        <v>52</v>
      </c>
      <c r="B10" s="25" t="s">
        <v>50</v>
      </c>
      <c r="C10" s="8" t="s">
        <v>35</v>
      </c>
      <c r="D10" s="8" t="s">
        <v>36</v>
      </c>
      <c r="E10" s="33" t="s">
        <v>7</v>
      </c>
      <c r="F10" s="8" t="s">
        <v>37</v>
      </c>
      <c r="G10" s="8" t="s">
        <v>38</v>
      </c>
      <c r="H10" s="8" t="s">
        <v>41</v>
      </c>
      <c r="I10" s="8" t="s">
        <v>42</v>
      </c>
      <c r="J10" s="8" t="s">
        <v>43</v>
      </c>
      <c r="K10" s="8" t="s">
        <v>44</v>
      </c>
      <c r="L10" s="8" t="s">
        <v>45</v>
      </c>
      <c r="M10" s="8" t="s">
        <v>59</v>
      </c>
      <c r="N10" s="8" t="s">
        <v>60</v>
      </c>
      <c r="O10" s="8" t="s">
        <v>70</v>
      </c>
      <c r="P10" s="8" t="s">
        <v>71</v>
      </c>
      <c r="Q10" s="8" t="s">
        <v>72</v>
      </c>
    </row>
    <row r="11" spans="1:17" x14ac:dyDescent="0.45">
      <c r="A11" s="77" t="s">
        <v>132</v>
      </c>
      <c r="B11" s="342" t="s">
        <v>33</v>
      </c>
      <c r="C11" s="257">
        <f>C5</f>
        <v>157.86476355247981</v>
      </c>
      <c r="D11" s="257">
        <f>D5</f>
        <v>157.99192618223759</v>
      </c>
      <c r="E11" s="29">
        <f>(('Input - Activity and Demand'!D$41*'Input - Modelling Variables'!$C$38)*'Input - Throughput'!$R$15)/'Input - Capacity'!$L$15</f>
        <v>157.91810841983852</v>
      </c>
      <c r="F11" s="29">
        <f>(('Input - Activity and Demand'!E$41*'Input - Modelling Variables'!$C$38)*'Input - Throughput'!$R$15)/'Input - Capacity'!$L$15</f>
        <v>164.23483275663207</v>
      </c>
      <c r="G11" s="29">
        <f>(('Input - Activity and Demand'!F$41*'Input - Modelling Variables'!$C$38)*'Input - Throughput'!$R$15)/'Input - Capacity'!$L$15</f>
        <v>170.80422606689737</v>
      </c>
      <c r="H11" s="29">
        <f>(('Input - Activity and Demand'!G$41*'Input - Modelling Variables'!$C$38)*'Input - Throughput'!$R$15)/'Input - Capacity'!$L$15</f>
        <v>177.63639510957327</v>
      </c>
      <c r="I11" s="29">
        <f>(('Input - Activity and Demand'!H$41*'Input - Modelling Variables'!$C$38)*'Input - Throughput'!$R$15)/'Input - Capacity'!$L$15</f>
        <v>184.74185091395617</v>
      </c>
      <c r="J11" s="29">
        <f>(('Input - Activity and Demand'!I$41*'Input - Modelling Variables'!$C$38)*'Input - Throughput'!$R$15)/'Input - Capacity'!$L$15</f>
        <v>192.13152495051446</v>
      </c>
      <c r="K11" s="29">
        <f>(('Input - Activity and Demand'!J$41*'Input - Modelling Variables'!$C$38)*'Input - Throughput'!$R$15)/'Input - Capacity'!$L$15</f>
        <v>199.81678594853503</v>
      </c>
      <c r="L11" s="29">
        <f>(('Input - Activity and Demand'!K$41*'Input - Modelling Variables'!$C$38)*'Input - Throughput'!$R$15)/'Input - Capacity'!$L$15</f>
        <v>207.80945738647642</v>
      </c>
      <c r="M11" s="29">
        <f>(('Input - Activity and Demand'!L$41*'Input - Modelling Variables'!$C$38)*'Input - Throughput'!$R$15)/'Input - Capacity'!$L$15</f>
        <v>216.12183568193552</v>
      </c>
      <c r="N11" s="29">
        <f>(('Input - Activity and Demand'!M$41*'Input - Modelling Variables'!$C$38)*'Input - Throughput'!$R$15)/'Input - Capacity'!$L$15</f>
        <v>224.76670910921294</v>
      </c>
      <c r="O11" s="29">
        <f>(('Input - Activity and Demand'!N$41*'Input - Modelling Variables'!$C$38)*'Input - Throughput'!$R$15)/'Input - Capacity'!$L$15</f>
        <v>233.75737747358141</v>
      </c>
      <c r="P11" s="29">
        <f>(('Input - Activity and Demand'!O$41*'Input - Modelling Variables'!$C$38)*'Input - Throughput'!$R$15)/'Input - Capacity'!$L$15</f>
        <v>243.10767257252468</v>
      </c>
      <c r="Q11" s="29">
        <f>(('Input - Activity and Demand'!P$41*'Input - Modelling Variables'!$C$38)*'Input - Throughput'!$R$15)/'Input - Capacity'!$L$15</f>
        <v>252.8319794754257</v>
      </c>
    </row>
    <row r="12" spans="1:17" x14ac:dyDescent="0.45">
      <c r="A12" s="77" t="s">
        <v>133</v>
      </c>
      <c r="B12" s="343"/>
      <c r="C12" s="258"/>
      <c r="D12" s="258"/>
      <c r="E12" s="29">
        <f>(('Input - Activity and Demand'!D$42*'Input - Modelling Variables'!$C$38)*'Input - Throughput'!$R$15)/'Input - Capacity'!$L$15</f>
        <v>157.91810841983852</v>
      </c>
      <c r="F12" s="29">
        <f>(('Input - Activity and Demand'!E$42*'Input - Modelling Variables'!$C$38)*'Input - Throughput'!$R$15)/'Input - Capacity'!$L$15</f>
        <v>167.39319492502884</v>
      </c>
      <c r="G12" s="29">
        <f>(('Input - Activity and Demand'!F$42*'Input - Modelling Variables'!$C$38)*'Input - Throughput'!$R$15)/'Input - Capacity'!$L$15</f>
        <v>177.43678662053054</v>
      </c>
      <c r="H12" s="29">
        <f>(('Input - Activity and Demand'!G$42*'Input - Modelling Variables'!$C$38)*'Input - Throughput'!$R$15)/'Input - Capacity'!$L$15</f>
        <v>188.0829938177624</v>
      </c>
      <c r="I12" s="29">
        <f>(('Input - Activity and Demand'!H$42*'Input - Modelling Variables'!$C$38)*'Input - Throughput'!$R$15)/'Input - Capacity'!$L$15</f>
        <v>199.36797344682816</v>
      </c>
      <c r="J12" s="29">
        <f>(('Input - Activity and Demand'!I$42*'Input - Modelling Variables'!$C$38)*'Input - Throughput'!$R$15)/'Input - Capacity'!$L$15</f>
        <v>211.33005185363785</v>
      </c>
      <c r="K12" s="29">
        <f>(('Input - Activity and Demand'!J$42*'Input - Modelling Variables'!$C$38)*'Input - Throughput'!$R$15)/'Input - Capacity'!$L$15</f>
        <v>224.00985496485612</v>
      </c>
      <c r="L12" s="29">
        <f>(('Input - Activity and Demand'!K$42*'Input - Modelling Variables'!$C$38)*'Input - Throughput'!$R$15)/'Input - Capacity'!$L$15</f>
        <v>237.45044626274748</v>
      </c>
      <c r="M12" s="29">
        <f>(('Input - Activity and Demand'!L$42*'Input - Modelling Variables'!$C$38)*'Input - Throughput'!$R$15)/'Input - Capacity'!$L$15</f>
        <v>251.69747303851236</v>
      </c>
      <c r="N12" s="29">
        <f>(('Input - Activity and Demand'!M$42*'Input - Modelling Variables'!$C$38)*'Input - Throughput'!$R$15)/'Input - Capacity'!$L$15</f>
        <v>266.79932142082305</v>
      </c>
      <c r="O12" s="29">
        <f>(('Input - Activity and Demand'!N$42*'Input - Modelling Variables'!$C$38)*'Input - Throughput'!$R$15)/'Input - Capacity'!$L$15</f>
        <v>282.80728070607245</v>
      </c>
      <c r="P12" s="29">
        <f>(('Input - Activity and Demand'!O$42*'Input - Modelling Variables'!$C$38)*'Input - Throughput'!$R$15)/'Input - Capacity'!$L$15</f>
        <v>299.77571754843677</v>
      </c>
      <c r="Q12" s="29">
        <f>(('Input - Activity and Demand'!P$42*'Input - Modelling Variables'!$C$38)*'Input - Throughput'!$R$15)/'Input - Capacity'!$L$15</f>
        <v>317.76226060134303</v>
      </c>
    </row>
    <row r="13" spans="1:17" x14ac:dyDescent="0.45">
      <c r="A13" s="1"/>
      <c r="B13" s="1"/>
      <c r="C13" s="1"/>
      <c r="D13" s="60"/>
      <c r="E13" s="60"/>
      <c r="F13" s="60"/>
      <c r="G13" s="60"/>
      <c r="H13" s="60"/>
      <c r="I13" s="60"/>
      <c r="J13" s="60"/>
      <c r="K13" s="60"/>
      <c r="L13" s="60"/>
      <c r="M13" s="60"/>
      <c r="N13" s="27"/>
      <c r="O13" s="27"/>
      <c r="P13" s="27"/>
    </row>
    <row r="14" spans="1:17" x14ac:dyDescent="0.45">
      <c r="A14" s="27"/>
      <c r="B14" s="27"/>
      <c r="C14" s="27"/>
      <c r="D14"/>
      <c r="E14"/>
      <c r="F14" s="27"/>
      <c r="G14" s="27"/>
      <c r="H14" s="27"/>
      <c r="I14" s="39"/>
      <c r="J14" s="27"/>
      <c r="K14"/>
      <c r="L14" s="27"/>
      <c r="M14" s="27"/>
      <c r="N14" s="27"/>
      <c r="O14" s="27"/>
      <c r="P14" s="27"/>
    </row>
    <row r="15" spans="1:17" s="152" customFormat="1" ht="20" hidden="1" customHeight="1" x14ac:dyDescent="0.45">
      <c r="A15" s="146" t="s">
        <v>184</v>
      </c>
      <c r="B15" s="126" t="s">
        <v>73</v>
      </c>
      <c r="C15" s="126" t="s">
        <v>74</v>
      </c>
      <c r="D15" s="126" t="s">
        <v>75</v>
      </c>
      <c r="E15" s="126" t="s">
        <v>76</v>
      </c>
      <c r="F15" s="126" t="s">
        <v>77</v>
      </c>
      <c r="G15" s="126" t="s">
        <v>78</v>
      </c>
      <c r="H15" s="126" t="s">
        <v>79</v>
      </c>
      <c r="I15" s="126" t="s">
        <v>87</v>
      </c>
      <c r="J15" s="126" t="s">
        <v>86</v>
      </c>
      <c r="K15" s="126" t="s">
        <v>85</v>
      </c>
      <c r="L15" s="126" t="s">
        <v>84</v>
      </c>
      <c r="M15" s="126" t="s">
        <v>83</v>
      </c>
      <c r="N15" s="126" t="s">
        <v>82</v>
      </c>
      <c r="O15" s="126" t="s">
        <v>81</v>
      </c>
      <c r="P15" s="126" t="s">
        <v>80</v>
      </c>
    </row>
    <row r="16" spans="1:17" hidden="1" x14ac:dyDescent="0.45">
      <c r="A16" s="77" t="s">
        <v>189</v>
      </c>
      <c r="B16" s="29">
        <f>C$5</f>
        <v>157.86476355247981</v>
      </c>
      <c r="C16" s="29">
        <f>D$5</f>
        <v>157.99192618223759</v>
      </c>
      <c r="D16" s="29">
        <f>E$5</f>
        <v>154.45559400230681</v>
      </c>
      <c r="E16" s="29">
        <f>F$5</f>
        <v>116.32151095732411</v>
      </c>
      <c r="F16" s="29">
        <f>G$5</f>
        <v>129.6340830449827</v>
      </c>
      <c r="G16" s="29"/>
      <c r="H16" s="29"/>
      <c r="I16" s="29"/>
      <c r="J16" s="29"/>
      <c r="K16" s="29"/>
      <c r="L16" s="29"/>
      <c r="M16" s="29"/>
      <c r="N16" s="29"/>
      <c r="O16" s="29"/>
      <c r="P16" s="29"/>
    </row>
    <row r="17" spans="1:16" hidden="1" x14ac:dyDescent="0.45">
      <c r="A17" s="37" t="s">
        <v>185</v>
      </c>
      <c r="B17" s="29"/>
      <c r="C17" s="29"/>
      <c r="D17" s="29"/>
      <c r="E17" s="29"/>
      <c r="F17" s="29">
        <f>F16</f>
        <v>129.6340830449827</v>
      </c>
      <c r="G17" s="29">
        <f t="shared" ref="G17:P17" si="0">H$5</f>
        <v>134.81944636678202</v>
      </c>
      <c r="H17" s="29">
        <f t="shared" si="0"/>
        <v>140.21222422145328</v>
      </c>
      <c r="I17" s="29">
        <f t="shared" si="0"/>
        <v>145.82071319031144</v>
      </c>
      <c r="J17" s="29">
        <f t="shared" si="0"/>
        <v>151.6535417179239</v>
      </c>
      <c r="K17" s="29">
        <f t="shared" si="0"/>
        <v>157.71968338664087</v>
      </c>
      <c r="L17" s="29">
        <f t="shared" si="0"/>
        <v>164.0284707221065</v>
      </c>
      <c r="M17" s="29">
        <f t="shared" si="0"/>
        <v>170.58960955099079</v>
      </c>
      <c r="N17" s="29">
        <f t="shared" si="0"/>
        <v>177.41319393303039</v>
      </c>
      <c r="O17" s="29">
        <f t="shared" si="0"/>
        <v>184.5097216903516</v>
      </c>
      <c r="P17" s="29">
        <f t="shared" si="0"/>
        <v>191.8901105579657</v>
      </c>
    </row>
    <row r="18" spans="1:16" hidden="1" x14ac:dyDescent="0.45">
      <c r="A18" s="37" t="s">
        <v>186</v>
      </c>
      <c r="B18" s="29"/>
      <c r="C18" s="29"/>
      <c r="D18" s="29"/>
      <c r="E18" s="29"/>
      <c r="F18" s="29">
        <f>F16</f>
        <v>129.6340830449827</v>
      </c>
      <c r="G18" s="29">
        <f t="shared" ref="G18:P18" si="1">H$6</f>
        <v>137.41212802768166</v>
      </c>
      <c r="H18" s="29">
        <f t="shared" si="1"/>
        <v>145.65685570934258</v>
      </c>
      <c r="I18" s="29">
        <f t="shared" si="1"/>
        <v>154.39626705190312</v>
      </c>
      <c r="J18" s="29">
        <f t="shared" si="1"/>
        <v>163.66004307501731</v>
      </c>
      <c r="K18" s="29">
        <f t="shared" si="1"/>
        <v>173.47964565951838</v>
      </c>
      <c r="L18" s="29">
        <f t="shared" si="1"/>
        <v>183.88842439908947</v>
      </c>
      <c r="M18" s="29">
        <f t="shared" si="1"/>
        <v>194.92172986303484</v>
      </c>
      <c r="N18" s="29">
        <f t="shared" si="1"/>
        <v>206.61703365481694</v>
      </c>
      <c r="O18" s="29">
        <f t="shared" si="1"/>
        <v>219.01405567410595</v>
      </c>
      <c r="P18" s="29">
        <f t="shared" si="1"/>
        <v>232.15489901455234</v>
      </c>
    </row>
    <row r="19" spans="1:16" hidden="1" x14ac:dyDescent="0.45">
      <c r="A19" s="37" t="s">
        <v>187</v>
      </c>
      <c r="B19" s="29"/>
      <c r="C19" s="29"/>
      <c r="D19" s="29">
        <f t="shared" ref="D19:P19" si="2">E11</f>
        <v>157.91810841983852</v>
      </c>
      <c r="E19" s="29">
        <f t="shared" si="2"/>
        <v>164.23483275663207</v>
      </c>
      <c r="F19" s="29">
        <f t="shared" si="2"/>
        <v>170.80422606689737</v>
      </c>
      <c r="G19" s="29">
        <f t="shared" si="2"/>
        <v>177.63639510957327</v>
      </c>
      <c r="H19" s="29">
        <f t="shared" si="2"/>
        <v>184.74185091395617</v>
      </c>
      <c r="I19" s="29">
        <f t="shared" si="2"/>
        <v>192.13152495051446</v>
      </c>
      <c r="J19" s="29">
        <f t="shared" si="2"/>
        <v>199.81678594853503</v>
      </c>
      <c r="K19" s="29">
        <f t="shared" si="2"/>
        <v>207.80945738647642</v>
      </c>
      <c r="L19" s="29">
        <f t="shared" si="2"/>
        <v>216.12183568193552</v>
      </c>
      <c r="M19" s="29">
        <f t="shared" si="2"/>
        <v>224.76670910921294</v>
      </c>
      <c r="N19" s="29">
        <f t="shared" si="2"/>
        <v>233.75737747358141</v>
      </c>
      <c r="O19" s="29">
        <f t="shared" si="2"/>
        <v>243.10767257252468</v>
      </c>
      <c r="P19" s="29">
        <f t="shared" si="2"/>
        <v>252.8319794754257</v>
      </c>
    </row>
    <row r="20" spans="1:16" hidden="1" x14ac:dyDescent="0.45">
      <c r="A20" s="37" t="s">
        <v>188</v>
      </c>
      <c r="B20" s="29"/>
      <c r="C20" s="29"/>
      <c r="D20" s="29">
        <f t="shared" ref="D20:P20" si="3">E12</f>
        <v>157.91810841983852</v>
      </c>
      <c r="E20" s="29">
        <f t="shared" si="3"/>
        <v>167.39319492502884</v>
      </c>
      <c r="F20" s="29">
        <f t="shared" si="3"/>
        <v>177.43678662053054</v>
      </c>
      <c r="G20" s="29">
        <f t="shared" si="3"/>
        <v>188.0829938177624</v>
      </c>
      <c r="H20" s="29">
        <f t="shared" si="3"/>
        <v>199.36797344682816</v>
      </c>
      <c r="I20" s="29">
        <f t="shared" si="3"/>
        <v>211.33005185363785</v>
      </c>
      <c r="J20" s="29">
        <f t="shared" si="3"/>
        <v>224.00985496485612</v>
      </c>
      <c r="K20" s="29">
        <f t="shared" si="3"/>
        <v>237.45044626274748</v>
      </c>
      <c r="L20" s="29">
        <f t="shared" si="3"/>
        <v>251.69747303851236</v>
      </c>
      <c r="M20" s="29">
        <f t="shared" si="3"/>
        <v>266.79932142082305</v>
      </c>
      <c r="N20" s="29">
        <f t="shared" si="3"/>
        <v>282.80728070607245</v>
      </c>
      <c r="O20" s="29">
        <f t="shared" si="3"/>
        <v>299.77571754843677</v>
      </c>
      <c r="P20" s="29">
        <f t="shared" si="3"/>
        <v>317.76226060134303</v>
      </c>
    </row>
    <row r="21" spans="1:16" hidden="1" x14ac:dyDescent="0.45">
      <c r="A21" s="141" t="s">
        <v>238</v>
      </c>
      <c r="B21" s="29"/>
      <c r="C21" s="29"/>
      <c r="D21" s="29"/>
      <c r="E21" s="29"/>
      <c r="F21" s="29"/>
      <c r="G21" s="29">
        <f t="shared" ref="G21:P21" si="4">((G20-G17)/2)+G17</f>
        <v>161.45122009227219</v>
      </c>
      <c r="H21" s="29">
        <f t="shared" si="4"/>
        <v>169.79009883414074</v>
      </c>
      <c r="I21" s="29">
        <f t="shared" si="4"/>
        <v>178.57538252197463</v>
      </c>
      <c r="J21" s="29">
        <f t="shared" si="4"/>
        <v>187.83169834138999</v>
      </c>
      <c r="K21" s="29">
        <f t="shared" si="4"/>
        <v>197.58506482469417</v>
      </c>
      <c r="L21" s="29">
        <f t="shared" si="4"/>
        <v>207.86297188030943</v>
      </c>
      <c r="M21" s="29">
        <f t="shared" si="4"/>
        <v>218.6944654859069</v>
      </c>
      <c r="N21" s="29">
        <f t="shared" si="4"/>
        <v>230.1102373195514</v>
      </c>
      <c r="O21" s="29">
        <f t="shared" si="4"/>
        <v>242.1427196193942</v>
      </c>
      <c r="P21" s="29">
        <f t="shared" si="4"/>
        <v>254.82618557965435</v>
      </c>
    </row>
    <row r="22" spans="1:16" hidden="1" x14ac:dyDescent="0.45">
      <c r="A22" s="37" t="s">
        <v>461</v>
      </c>
      <c r="B22" s="29" t="e">
        <f>IF('Input - Workforce Supply'!F30=0,NA(),'Input - Workforce Supply'!F30)</f>
        <v>#N/A</v>
      </c>
      <c r="C22" s="29" t="e">
        <f>IF('Input - Workforce Supply'!G30=0,NA(),'Input - Workforce Supply'!G30)</f>
        <v>#N/A</v>
      </c>
      <c r="D22" s="29" t="e">
        <f>IF('Input - Workforce Supply'!H30=0,NA(),'Input - Workforce Supply'!H30)</f>
        <v>#N/A</v>
      </c>
      <c r="E22" s="29" t="e">
        <f>IF('Input - Workforce Supply'!I30=0,NA(),'Input - Workforce Supply'!I30)</f>
        <v>#N/A</v>
      </c>
      <c r="F22" s="29">
        <f>IF('Input - Workforce Supply'!J30=0,NA(),'Input - Workforce Supply'!J30)</f>
        <v>148.41</v>
      </c>
      <c r="G22" s="29" t="e">
        <f>IF('Input - Workforce Supply'!K30=0,NA(),'Input - Workforce Supply'!K30)</f>
        <v>#N/A</v>
      </c>
      <c r="H22" s="29" t="e">
        <f>IF('Input - Workforce Supply'!L30=0,NA(),'Input - Workforce Supply'!L30)</f>
        <v>#N/A</v>
      </c>
      <c r="I22" s="29" t="e">
        <f>IF('Input - Workforce Supply'!M30=0,NA(),'Input - Workforce Supply'!M30)</f>
        <v>#N/A</v>
      </c>
      <c r="J22" s="29" t="e">
        <f>IF('Input - Workforce Supply'!N30=0,NA(),'Input - Workforce Supply'!N30)</f>
        <v>#N/A</v>
      </c>
      <c r="K22" s="29" t="e">
        <f>IF('Input - Workforce Supply'!O30=0,NA(),'Input - Workforce Supply'!O30)</f>
        <v>#N/A</v>
      </c>
      <c r="L22" s="29" t="e">
        <f>IF('Input - Workforce Supply'!P30=0,NA(),'Input - Workforce Supply'!P30)</f>
        <v>#N/A</v>
      </c>
      <c r="M22" s="29" t="e">
        <f>IF('Input - Workforce Supply'!Q30=0,NA(),'Input - Workforce Supply'!Q30)</f>
        <v>#N/A</v>
      </c>
      <c r="N22" s="29" t="e">
        <f>IF('Input - Workforce Supply'!R30=0,NA(),'Input - Workforce Supply'!R30)</f>
        <v>#N/A</v>
      </c>
      <c r="O22" s="29" t="e">
        <f>IF('Input - Workforce Supply'!S30=0,NA(),'Input - Workforce Supply'!S30)</f>
        <v>#N/A</v>
      </c>
      <c r="P22" s="29" t="e">
        <f>IF('Input - Workforce Supply'!T30=0,NA(),'Input - Workforce Supply'!T30)</f>
        <v>#N/A</v>
      </c>
    </row>
    <row r="23" spans="1:16" hidden="1" x14ac:dyDescent="0.45">
      <c r="A23" s="37" t="s">
        <v>460</v>
      </c>
      <c r="B23" s="29" t="e">
        <f>IF('Input - Workforce Supply'!F31=0,NA(),'Input - Workforce Supply'!F31)</f>
        <v>#N/A</v>
      </c>
      <c r="C23" s="29" t="e">
        <f>IF('Input - Workforce Supply'!G31=0,NA(),'Input - Workforce Supply'!G31)</f>
        <v>#N/A</v>
      </c>
      <c r="D23" s="29" t="e">
        <f>IF('Input - Workforce Supply'!H31=0,NA(),'Input - Workforce Supply'!H31)</f>
        <v>#N/A</v>
      </c>
      <c r="E23" s="29" t="e">
        <f>IF('Input - Workforce Supply'!I31=0,NA(),'Input - Workforce Supply'!I31)</f>
        <v>#N/A</v>
      </c>
      <c r="F23" s="29">
        <f>IF('Input - Workforce Supply'!J31=0,NA(),'Input - Workforce Supply'!J31)</f>
        <v>129.69999999999999</v>
      </c>
      <c r="G23" s="29" t="e">
        <f>IF('Input - Workforce Supply'!K31=0,NA(),'Input - Workforce Supply'!K31)</f>
        <v>#N/A</v>
      </c>
      <c r="H23" s="29" t="e">
        <f>IF('Input - Workforce Supply'!L31=0,NA(),'Input - Workforce Supply'!L31)</f>
        <v>#N/A</v>
      </c>
      <c r="I23" s="29" t="e">
        <f>IF('Input - Workforce Supply'!M31=0,NA(),'Input - Workforce Supply'!M31)</f>
        <v>#N/A</v>
      </c>
      <c r="J23" s="29" t="e">
        <f>IF('Input - Workforce Supply'!N31=0,NA(),'Input - Workforce Supply'!N31)</f>
        <v>#N/A</v>
      </c>
      <c r="K23" s="29" t="e">
        <f>IF('Input - Workforce Supply'!O31=0,NA(),'Input - Workforce Supply'!O31)</f>
        <v>#N/A</v>
      </c>
      <c r="L23" s="29" t="e">
        <f>IF('Input - Workforce Supply'!P31=0,NA(),'Input - Workforce Supply'!P31)</f>
        <v>#N/A</v>
      </c>
      <c r="M23" s="29" t="e">
        <f>IF('Input - Workforce Supply'!Q31=0,NA(),'Input - Workforce Supply'!Q31)</f>
        <v>#N/A</v>
      </c>
      <c r="N23" s="29" t="e">
        <f>IF('Input - Workforce Supply'!R31=0,NA(),'Input - Workforce Supply'!R31)</f>
        <v>#N/A</v>
      </c>
      <c r="O23" s="29" t="e">
        <f>IF('Input - Workforce Supply'!S31=0,NA(),'Input - Workforce Supply'!S31)</f>
        <v>#N/A</v>
      </c>
      <c r="P23" s="29" t="e">
        <f>IF('Input - Workforce Supply'!T31=0,NA(),'Input - Workforce Supply'!T31)</f>
        <v>#N/A</v>
      </c>
    </row>
    <row r="24" spans="1:16" hidden="1" x14ac:dyDescent="0.45">
      <c r="A24" s="187" t="s">
        <v>459</v>
      </c>
      <c r="B24" s="29" t="e">
        <f>IF('Input - Workforce Supply'!F32=0,NA(),'Input - Workforce Supply'!F32)</f>
        <v>#N/A</v>
      </c>
      <c r="C24" s="29" t="e">
        <f>IF('Input - Workforce Supply'!G32=0,NA(),'Input - Workforce Supply'!G32)</f>
        <v>#N/A</v>
      </c>
      <c r="D24" s="29" t="e">
        <f>IF('Input - Workforce Supply'!H32=0,NA(),'Input - Workforce Supply'!H32)</f>
        <v>#N/A</v>
      </c>
      <c r="E24" s="29" t="e">
        <f>IF('Input - Workforce Supply'!I32=0,NA(),'Input - Workforce Supply'!I32)</f>
        <v>#N/A</v>
      </c>
      <c r="F24" s="29" t="e">
        <f>IF('Input - Workforce Supply'!J32=0,NA(),'Input - Workforce Supply'!J32)</f>
        <v>#N/A</v>
      </c>
      <c r="G24" s="29" t="e">
        <f>IF('Input - Workforce Supply'!K32=0,NA(),'Input - Workforce Supply'!K32)</f>
        <v>#N/A</v>
      </c>
      <c r="H24" s="29" t="e">
        <f>IF('Input - Workforce Supply'!L32=0,NA(),'Input - Workforce Supply'!L32)</f>
        <v>#N/A</v>
      </c>
      <c r="I24" s="29" t="e">
        <f>IF('Input - Workforce Supply'!M32=0,NA(),'Input - Workforce Supply'!M32)</f>
        <v>#N/A</v>
      </c>
      <c r="J24" s="29" t="e">
        <f>IF('Input - Workforce Supply'!N32=0,NA(),'Input - Workforce Supply'!N32)</f>
        <v>#N/A</v>
      </c>
      <c r="K24" s="29" t="e">
        <f>IF('Input - Workforce Supply'!O32=0,NA(),'Input - Workforce Supply'!O32)</f>
        <v>#N/A</v>
      </c>
      <c r="L24" s="29" t="e">
        <f>IF('Input - Workforce Supply'!P32=0,NA(),'Input - Workforce Supply'!P32)</f>
        <v>#N/A</v>
      </c>
      <c r="M24" s="29" t="e">
        <f>IF('Input - Workforce Supply'!Q32=0,NA(),'Input - Workforce Supply'!Q32)</f>
        <v>#N/A</v>
      </c>
      <c r="N24" s="29" t="e">
        <f>IF('Input - Workforce Supply'!R32=0,NA(),'Input - Workforce Supply'!R32)</f>
        <v>#N/A</v>
      </c>
      <c r="O24" s="29" t="e">
        <f>IF('Input - Workforce Supply'!S32=0,NA(),'Input - Workforce Supply'!S32)</f>
        <v>#N/A</v>
      </c>
      <c r="P24" s="29" t="e">
        <f>IF('Input - Workforce Supply'!T32=0,NA(),'Input - Workforce Supply'!T32)</f>
        <v>#N/A</v>
      </c>
    </row>
  </sheetData>
  <mergeCells count="13">
    <mergeCell ref="C11:C12"/>
    <mergeCell ref="D11:D12"/>
    <mergeCell ref="B11:B12"/>
    <mergeCell ref="B5:B6"/>
    <mergeCell ref="C3:G3"/>
    <mergeCell ref="C9:D9"/>
    <mergeCell ref="C5:C6"/>
    <mergeCell ref="D5:D6"/>
    <mergeCell ref="E5:E6"/>
    <mergeCell ref="F5:F6"/>
    <mergeCell ref="E9:Q9"/>
    <mergeCell ref="H3:Q3"/>
    <mergeCell ref="G5:G6"/>
  </mergeCells>
  <phoneticPr fontId="12"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9C59C-7DA9-47D2-96B6-4406C63DCCDC}">
  <sheetPr>
    <tabColor theme="1"/>
  </sheetPr>
  <dimension ref="B2:G36"/>
  <sheetViews>
    <sheetView showGridLines="0" zoomScaleNormal="100" workbookViewId="0">
      <pane ySplit="5" topLeftCell="A6" activePane="bottomLeft" state="frozen"/>
      <selection pane="bottomLeft"/>
    </sheetView>
  </sheetViews>
  <sheetFormatPr defaultColWidth="8.796875" defaultRowHeight="14.55" customHeight="1" x14ac:dyDescent="0.35"/>
  <cols>
    <col min="1" max="1" width="3.53125" style="4" customWidth="1"/>
    <col min="2" max="2" width="25.796875" style="4" customWidth="1"/>
    <col min="3" max="3" width="40.796875" style="4" customWidth="1"/>
    <col min="4" max="4" width="50.53125" style="4" customWidth="1"/>
    <col min="5" max="5" width="43.796875" style="4" customWidth="1"/>
    <col min="6" max="6" width="50.53125" style="4" customWidth="1"/>
    <col min="7" max="7" width="20.53125" style="4" customWidth="1"/>
    <col min="8" max="16384" width="8.796875" style="4"/>
  </cols>
  <sheetData>
    <row r="2" spans="2:7" ht="30" customHeight="1" x14ac:dyDescent="0.7">
      <c r="B2" s="158" t="s">
        <v>239</v>
      </c>
    </row>
    <row r="3" spans="2:7" ht="14.55" customHeight="1" x14ac:dyDescent="0.35">
      <c r="B3" s="232" t="s">
        <v>491</v>
      </c>
    </row>
    <row r="5" spans="2:7" s="159" customFormat="1" ht="20" customHeight="1" x14ac:dyDescent="0.45">
      <c r="B5" s="159" t="s">
        <v>240</v>
      </c>
      <c r="C5" s="159" t="s">
        <v>241</v>
      </c>
      <c r="D5" s="159" t="s">
        <v>242</v>
      </c>
      <c r="E5" s="159" t="s">
        <v>448</v>
      </c>
      <c r="F5" s="159" t="s">
        <v>243</v>
      </c>
      <c r="G5" s="159" t="s">
        <v>244</v>
      </c>
    </row>
    <row r="6" spans="2:7" ht="104.65" x14ac:dyDescent="0.35">
      <c r="B6" s="160" t="s">
        <v>245</v>
      </c>
      <c r="C6" s="160" t="s">
        <v>247</v>
      </c>
      <c r="D6" s="160" t="s">
        <v>248</v>
      </c>
      <c r="E6" s="160" t="s">
        <v>462</v>
      </c>
      <c r="F6" s="160" t="s">
        <v>465</v>
      </c>
      <c r="G6" s="160"/>
    </row>
    <row r="7" spans="2:7" ht="81.400000000000006" x14ac:dyDescent="0.35">
      <c r="B7" s="160" t="s">
        <v>245</v>
      </c>
      <c r="C7" s="160" t="s">
        <v>153</v>
      </c>
      <c r="D7" s="160" t="s">
        <v>249</v>
      </c>
      <c r="E7" s="160" t="s">
        <v>463</v>
      </c>
      <c r="F7" s="160" t="s">
        <v>464</v>
      </c>
      <c r="G7" s="160"/>
    </row>
    <row r="8" spans="2:7" ht="69.75" x14ac:dyDescent="0.35">
      <c r="B8" s="160" t="s">
        <v>245</v>
      </c>
      <c r="C8" s="160" t="s">
        <v>250</v>
      </c>
      <c r="D8" s="160" t="s">
        <v>251</v>
      </c>
      <c r="E8" s="160" t="s">
        <v>317</v>
      </c>
      <c r="F8" s="160" t="s">
        <v>252</v>
      </c>
      <c r="G8" s="161" t="s">
        <v>257</v>
      </c>
    </row>
    <row r="9" spans="2:7" ht="46.5" x14ac:dyDescent="0.35">
      <c r="B9" s="160" t="s">
        <v>245</v>
      </c>
      <c r="C9" s="160" t="s">
        <v>253</v>
      </c>
      <c r="D9" s="160" t="s">
        <v>319</v>
      </c>
      <c r="E9" s="160" t="s">
        <v>318</v>
      </c>
      <c r="F9" s="160" t="s">
        <v>254</v>
      </c>
      <c r="G9" s="162" t="s">
        <v>258</v>
      </c>
    </row>
    <row r="10" spans="2:7" ht="69.75" x14ac:dyDescent="0.35">
      <c r="B10" s="160" t="s">
        <v>245</v>
      </c>
      <c r="C10" s="160" t="s">
        <v>255</v>
      </c>
      <c r="D10" s="160" t="s">
        <v>256</v>
      </c>
      <c r="E10" s="160" t="s">
        <v>467</v>
      </c>
      <c r="F10" s="160" t="s">
        <v>466</v>
      </c>
      <c r="G10" s="160"/>
    </row>
    <row r="11" spans="2:7" ht="34.9" x14ac:dyDescent="0.35">
      <c r="B11" s="160" t="s">
        <v>245</v>
      </c>
      <c r="C11" s="160" t="s">
        <v>492</v>
      </c>
      <c r="D11" s="160" t="s">
        <v>495</v>
      </c>
      <c r="E11" s="160" t="s">
        <v>498</v>
      </c>
      <c r="F11" s="160" t="s">
        <v>499</v>
      </c>
      <c r="G11" s="160"/>
    </row>
    <row r="12" spans="2:7" ht="23.25" x14ac:dyDescent="0.35">
      <c r="B12" s="160" t="s">
        <v>245</v>
      </c>
      <c r="C12" s="160" t="s">
        <v>493</v>
      </c>
      <c r="D12" s="160" t="s">
        <v>496</v>
      </c>
      <c r="E12" s="160" t="s">
        <v>500</v>
      </c>
      <c r="F12" s="160" t="s">
        <v>499</v>
      </c>
      <c r="G12" s="160"/>
    </row>
    <row r="13" spans="2:7" ht="46.5" x14ac:dyDescent="0.35">
      <c r="B13" s="160" t="s">
        <v>245</v>
      </c>
      <c r="C13" s="160" t="s">
        <v>494</v>
      </c>
      <c r="D13" s="160" t="s">
        <v>497</v>
      </c>
      <c r="E13" s="160" t="s">
        <v>501</v>
      </c>
      <c r="F13" s="160" t="s">
        <v>499</v>
      </c>
      <c r="G13" s="160"/>
    </row>
    <row r="14" spans="2:7" ht="46.5" x14ac:dyDescent="0.35">
      <c r="B14" s="160" t="s">
        <v>246</v>
      </c>
      <c r="C14" s="160" t="s">
        <v>259</v>
      </c>
      <c r="D14" s="163" t="s">
        <v>269</v>
      </c>
      <c r="E14" s="163" t="s">
        <v>270</v>
      </c>
      <c r="F14" s="163" t="s">
        <v>271</v>
      </c>
      <c r="G14" s="160"/>
    </row>
    <row r="15" spans="2:7" ht="34.9" x14ac:dyDescent="0.35">
      <c r="B15" s="160" t="s">
        <v>246</v>
      </c>
      <c r="C15" s="160" t="s">
        <v>320</v>
      </c>
      <c r="D15" s="163" t="s">
        <v>272</v>
      </c>
      <c r="E15" s="163" t="s">
        <v>273</v>
      </c>
      <c r="F15" s="163" t="s">
        <v>517</v>
      </c>
      <c r="G15" s="160"/>
    </row>
    <row r="16" spans="2:7" ht="23.25" x14ac:dyDescent="0.35">
      <c r="B16" s="160" t="s">
        <v>246</v>
      </c>
      <c r="C16" s="160" t="s">
        <v>260</v>
      </c>
      <c r="D16" s="163" t="s">
        <v>274</v>
      </c>
      <c r="E16" s="163" t="s">
        <v>275</v>
      </c>
      <c r="F16" s="163" t="s">
        <v>276</v>
      </c>
      <c r="G16" s="160"/>
    </row>
    <row r="17" spans="2:7" ht="23.25" x14ac:dyDescent="0.35">
      <c r="B17" s="160" t="s">
        <v>246</v>
      </c>
      <c r="C17" s="160" t="s">
        <v>261</v>
      </c>
      <c r="D17" s="163" t="s">
        <v>277</v>
      </c>
      <c r="E17" s="163" t="s">
        <v>278</v>
      </c>
      <c r="F17" s="163" t="s">
        <v>279</v>
      </c>
      <c r="G17" s="160"/>
    </row>
    <row r="18" spans="2:7" ht="23.25" x14ac:dyDescent="0.35">
      <c r="B18" s="160" t="s">
        <v>246</v>
      </c>
      <c r="C18" s="160" t="s">
        <v>262</v>
      </c>
      <c r="D18" s="163" t="s">
        <v>280</v>
      </c>
      <c r="E18" s="163" t="s">
        <v>281</v>
      </c>
      <c r="F18" s="163" t="s">
        <v>468</v>
      </c>
      <c r="G18" s="160"/>
    </row>
    <row r="19" spans="2:7" ht="11.65" x14ac:dyDescent="0.35">
      <c r="B19" s="160" t="s">
        <v>246</v>
      </c>
      <c r="C19" s="160" t="s">
        <v>263</v>
      </c>
      <c r="D19" s="163" t="s">
        <v>282</v>
      </c>
      <c r="E19" s="163" t="s">
        <v>283</v>
      </c>
      <c r="F19" s="163" t="s">
        <v>284</v>
      </c>
      <c r="G19" s="160"/>
    </row>
    <row r="20" spans="2:7" ht="58.15" x14ac:dyDescent="0.35">
      <c r="B20" s="160" t="s">
        <v>246</v>
      </c>
      <c r="C20" s="160" t="s">
        <v>264</v>
      </c>
      <c r="D20" s="163" t="s">
        <v>285</v>
      </c>
      <c r="E20" s="163" t="s">
        <v>286</v>
      </c>
      <c r="F20" s="163" t="s">
        <v>469</v>
      </c>
      <c r="G20" s="160"/>
    </row>
    <row r="21" spans="2:7" ht="34.9" x14ac:dyDescent="0.35">
      <c r="B21" s="160" t="s">
        <v>246</v>
      </c>
      <c r="C21" s="160" t="s">
        <v>265</v>
      </c>
      <c r="D21" s="163" t="s">
        <v>347</v>
      </c>
      <c r="E21" s="163" t="s">
        <v>287</v>
      </c>
      <c r="F21" s="163" t="s">
        <v>348</v>
      </c>
      <c r="G21" s="160"/>
    </row>
    <row r="22" spans="2:7" ht="104.65" x14ac:dyDescent="0.35">
      <c r="B22" s="160" t="s">
        <v>246</v>
      </c>
      <c r="C22" s="160" t="s">
        <v>266</v>
      </c>
      <c r="D22" s="163" t="s">
        <v>470</v>
      </c>
      <c r="E22" s="163" t="s">
        <v>472</v>
      </c>
      <c r="F22" s="163" t="s">
        <v>476</v>
      </c>
      <c r="G22" s="160"/>
    </row>
    <row r="23" spans="2:7" ht="23.25" x14ac:dyDescent="0.35">
      <c r="B23" s="160" t="s">
        <v>246</v>
      </c>
      <c r="C23" s="160" t="s">
        <v>267</v>
      </c>
      <c r="D23" s="163" t="s">
        <v>288</v>
      </c>
      <c r="E23" s="163" t="s">
        <v>289</v>
      </c>
      <c r="F23" s="163" t="s">
        <v>476</v>
      </c>
      <c r="G23" s="160"/>
    </row>
    <row r="24" spans="2:7" ht="34.9" x14ac:dyDescent="0.35">
      <c r="B24" s="160" t="s">
        <v>246</v>
      </c>
      <c r="C24" s="160" t="s">
        <v>268</v>
      </c>
      <c r="D24" s="163" t="s">
        <v>290</v>
      </c>
      <c r="E24" s="163" t="s">
        <v>471</v>
      </c>
      <c r="F24" s="163" t="s">
        <v>476</v>
      </c>
      <c r="G24" s="160"/>
    </row>
    <row r="25" spans="2:7" ht="127.9" x14ac:dyDescent="0.35">
      <c r="B25" s="160" t="s">
        <v>291</v>
      </c>
      <c r="C25" s="164" t="s">
        <v>292</v>
      </c>
      <c r="D25" s="163" t="s">
        <v>293</v>
      </c>
      <c r="E25" s="163"/>
      <c r="F25" s="163" t="s">
        <v>321</v>
      </c>
      <c r="G25" s="162" t="s">
        <v>294</v>
      </c>
    </row>
    <row r="26" spans="2:7" ht="116.25" x14ac:dyDescent="0.35">
      <c r="B26" s="160" t="s">
        <v>291</v>
      </c>
      <c r="C26" s="164" t="s">
        <v>295</v>
      </c>
      <c r="D26" s="163" t="s">
        <v>296</v>
      </c>
      <c r="E26" s="163" t="s">
        <v>349</v>
      </c>
      <c r="F26" s="163" t="s">
        <v>473</v>
      </c>
      <c r="G26" s="165"/>
    </row>
    <row r="27" spans="2:7" ht="81.400000000000006" x14ac:dyDescent="0.35">
      <c r="B27" s="160" t="s">
        <v>312</v>
      </c>
      <c r="C27" s="164" t="s">
        <v>297</v>
      </c>
      <c r="D27" s="163" t="s">
        <v>298</v>
      </c>
      <c r="E27" s="163" t="s">
        <v>299</v>
      </c>
      <c r="F27" s="163" t="s">
        <v>300</v>
      </c>
      <c r="G27" s="165"/>
    </row>
    <row r="28" spans="2:7" ht="104.65" x14ac:dyDescent="0.35">
      <c r="B28" s="160" t="s">
        <v>311</v>
      </c>
      <c r="C28" s="164" t="s">
        <v>355</v>
      </c>
      <c r="D28" s="163" t="s">
        <v>315</v>
      </c>
      <c r="E28" s="163" t="s">
        <v>350</v>
      </c>
      <c r="F28" s="163" t="s">
        <v>474</v>
      </c>
      <c r="G28" s="165"/>
    </row>
    <row r="29" spans="2:7" ht="58.15" x14ac:dyDescent="0.35">
      <c r="B29" s="160" t="s">
        <v>307</v>
      </c>
      <c r="C29" s="164" t="s">
        <v>301</v>
      </c>
      <c r="D29" s="163" t="s">
        <v>314</v>
      </c>
      <c r="E29" s="163" t="s">
        <v>313</v>
      </c>
      <c r="F29" s="163" t="s">
        <v>475</v>
      </c>
      <c r="G29" s="162" t="s">
        <v>302</v>
      </c>
    </row>
    <row r="30" spans="2:7" ht="46.5" x14ac:dyDescent="0.35">
      <c r="B30" s="160" t="s">
        <v>310</v>
      </c>
      <c r="C30" s="164" t="s">
        <v>353</v>
      </c>
      <c r="D30" s="163" t="s">
        <v>316</v>
      </c>
      <c r="E30" s="163" t="s">
        <v>352</v>
      </c>
      <c r="F30" s="163" t="s">
        <v>351</v>
      </c>
      <c r="G30" s="165"/>
    </row>
    <row r="31" spans="2:7" ht="23.25" x14ac:dyDescent="0.35">
      <c r="B31" s="160" t="s">
        <v>477</v>
      </c>
      <c r="C31" s="164" t="s">
        <v>354</v>
      </c>
      <c r="D31" s="163" t="s">
        <v>356</v>
      </c>
      <c r="E31" s="163" t="s">
        <v>357</v>
      </c>
      <c r="F31" s="163" t="s">
        <v>358</v>
      </c>
      <c r="G31" s="165"/>
    </row>
    <row r="32" spans="2:7" ht="23.25" x14ac:dyDescent="0.35">
      <c r="B32" s="160" t="s">
        <v>309</v>
      </c>
      <c r="C32" s="164" t="s">
        <v>303</v>
      </c>
      <c r="D32" s="163" t="s">
        <v>304</v>
      </c>
      <c r="E32" s="163" t="s">
        <v>345</v>
      </c>
      <c r="F32" s="163" t="s">
        <v>476</v>
      </c>
      <c r="G32" s="165"/>
    </row>
    <row r="33" spans="2:7" ht="34.9" x14ac:dyDescent="0.35">
      <c r="B33" s="160" t="s">
        <v>308</v>
      </c>
      <c r="C33" s="164" t="s">
        <v>305</v>
      </c>
      <c r="D33" s="163" t="s">
        <v>306</v>
      </c>
      <c r="E33" s="230"/>
      <c r="F33" s="163" t="s">
        <v>359</v>
      </c>
      <c r="G33" s="165"/>
    </row>
    <row r="34" spans="2:7" ht="23.25" x14ac:dyDescent="0.35">
      <c r="B34" s="160" t="s">
        <v>478</v>
      </c>
      <c r="C34" s="160" t="s">
        <v>481</v>
      </c>
      <c r="D34" s="160" t="s">
        <v>484</v>
      </c>
      <c r="E34" s="231" t="s">
        <v>488</v>
      </c>
      <c r="F34" s="160" t="s">
        <v>487</v>
      </c>
      <c r="G34" s="160"/>
    </row>
    <row r="35" spans="2:7" ht="23.25" x14ac:dyDescent="0.35">
      <c r="B35" s="160" t="s">
        <v>479</v>
      </c>
      <c r="C35" s="160" t="s">
        <v>482</v>
      </c>
      <c r="D35" s="160" t="s">
        <v>485</v>
      </c>
      <c r="E35" s="231" t="s">
        <v>489</v>
      </c>
      <c r="F35" s="160" t="s">
        <v>487</v>
      </c>
      <c r="G35" s="160"/>
    </row>
    <row r="36" spans="2:7" ht="23.25" x14ac:dyDescent="0.35">
      <c r="B36" s="160" t="s">
        <v>480</v>
      </c>
      <c r="C36" s="160" t="s">
        <v>483</v>
      </c>
      <c r="D36" s="160" t="s">
        <v>486</v>
      </c>
      <c r="E36" s="231" t="s">
        <v>490</v>
      </c>
      <c r="F36" s="160" t="s">
        <v>487</v>
      </c>
      <c r="G36" s="160"/>
    </row>
  </sheetData>
  <hyperlinks>
    <hyperlink ref="G8" r:id="rId1" xr:uid="{EE5F30B1-7FE5-4DEC-A179-4AE5A4740E31}"/>
    <hyperlink ref="G9" r:id="rId2" xr:uid="{52B9BF57-23AC-489D-AC7A-EA62C1563009}"/>
    <hyperlink ref="G25" r:id="rId3" location="/site/NSS/views/NRIIPHome-Contents/NRIIPHome?:iid=1" xr:uid="{F0871784-A1C1-4FE6-81B5-0F316A63B26E}"/>
    <hyperlink ref="G29" r:id="rId4" xr:uid="{6B828BA2-5A8E-4F14-A828-CC9C0C7811F4}"/>
  </hyperlinks>
  <pageMargins left="0.7" right="0.7" top="0.75" bottom="0.75" header="0.3" footer="0.3"/>
  <pageSetup paperSize="9" orientation="portrait" r:id="rId5"/>
  <tableParts count="1">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14653-ED49-4258-9A77-41CD8965474E}">
  <sheetPr>
    <tabColor theme="1"/>
  </sheetPr>
  <dimension ref="A1:S26"/>
  <sheetViews>
    <sheetView showGridLines="0" zoomScaleNormal="100" workbookViewId="0"/>
  </sheetViews>
  <sheetFormatPr defaultColWidth="8.796875" defaultRowHeight="14.25" x14ac:dyDescent="0.45"/>
  <cols>
    <col min="1" max="1" width="4.796875" style="86" customWidth="1"/>
    <col min="2" max="2" width="10.796875" style="86" customWidth="1"/>
    <col min="3" max="3" width="35.796875" style="86" customWidth="1"/>
    <col min="4" max="4" width="20.796875" style="86" customWidth="1"/>
    <col min="5" max="5" width="80.796875" style="86" customWidth="1"/>
    <col min="6" max="16384" width="8.796875" style="86"/>
  </cols>
  <sheetData>
    <row r="1" spans="1:19" ht="110.75" customHeight="1" x14ac:dyDescent="0.45">
      <c r="A1" s="85"/>
      <c r="B1" s="85"/>
      <c r="C1" s="85"/>
      <c r="D1" s="85"/>
      <c r="E1" s="85"/>
      <c r="F1" s="85"/>
      <c r="G1" s="85"/>
      <c r="H1" s="85"/>
      <c r="I1" s="85"/>
      <c r="J1" s="85"/>
      <c r="K1" s="85"/>
      <c r="L1" s="85"/>
      <c r="M1" s="85"/>
      <c r="N1" s="85"/>
      <c r="O1" s="85"/>
      <c r="P1" s="85"/>
      <c r="Q1" s="85"/>
      <c r="R1" s="85"/>
      <c r="S1" s="85"/>
    </row>
    <row r="2" spans="1:19" s="4" customFormat="1" ht="30" customHeight="1" x14ac:dyDescent="0.35">
      <c r="B2" s="237" t="s">
        <v>422</v>
      </c>
      <c r="C2" s="237"/>
      <c r="D2" s="237"/>
      <c r="E2" s="237"/>
    </row>
    <row r="3" spans="1:19" s="4" customFormat="1" ht="14.55" customHeight="1" x14ac:dyDescent="0.35">
      <c r="B3" s="239" t="s">
        <v>513</v>
      </c>
      <c r="C3" s="239"/>
      <c r="D3" s="239"/>
      <c r="E3" s="239"/>
    </row>
    <row r="4" spans="1:19" x14ac:dyDescent="0.45">
      <c r="A4" s="89"/>
      <c r="C4" s="87"/>
      <c r="D4" s="87"/>
      <c r="E4" s="85"/>
      <c r="F4" s="85"/>
      <c r="G4" s="85"/>
      <c r="H4" s="85"/>
      <c r="I4" s="85"/>
      <c r="J4" s="85"/>
      <c r="K4" s="85"/>
      <c r="L4" s="85"/>
      <c r="M4" s="85"/>
      <c r="N4" s="85"/>
      <c r="O4" s="85"/>
      <c r="P4" s="85"/>
      <c r="Q4" s="85"/>
      <c r="R4" s="85"/>
      <c r="S4" s="85"/>
    </row>
    <row r="5" spans="1:19" s="181" customFormat="1" ht="14.55" customHeight="1" x14ac:dyDescent="0.35">
      <c r="A5" s="89"/>
      <c r="B5" s="238" t="s">
        <v>340</v>
      </c>
      <c r="C5" s="238"/>
      <c r="D5" s="238"/>
      <c r="E5" s="238"/>
      <c r="F5" s="88"/>
      <c r="G5" s="88"/>
      <c r="H5" s="88"/>
      <c r="I5" s="88"/>
      <c r="J5" s="88"/>
      <c r="K5" s="88"/>
      <c r="L5" s="88"/>
      <c r="M5" s="88"/>
      <c r="N5" s="88"/>
      <c r="O5" s="88"/>
      <c r="P5" s="88"/>
      <c r="Q5" s="88"/>
      <c r="R5" s="88"/>
      <c r="S5" s="88"/>
    </row>
    <row r="6" spans="1:19" s="181" customFormat="1" ht="14.55" customHeight="1" x14ac:dyDescent="0.35"/>
    <row r="7" spans="1:19" s="205" customFormat="1" ht="20" customHeight="1" x14ac:dyDescent="0.45">
      <c r="B7" s="206"/>
      <c r="C7" s="204" t="s">
        <v>421</v>
      </c>
      <c r="D7" s="207" t="s">
        <v>447</v>
      </c>
      <c r="E7" s="207" t="s">
        <v>404</v>
      </c>
    </row>
    <row r="8" spans="1:19" s="181" customFormat="1" ht="34.9" x14ac:dyDescent="0.35">
      <c r="B8" s="203" t="s">
        <v>405</v>
      </c>
      <c r="C8" s="203" t="s">
        <v>245</v>
      </c>
      <c r="D8" s="203" t="s">
        <v>446</v>
      </c>
      <c r="E8" s="229" t="s">
        <v>502</v>
      </c>
    </row>
    <row r="9" spans="1:19" s="181" customFormat="1" ht="25.05" customHeight="1" x14ac:dyDescent="0.35">
      <c r="B9" s="203" t="s">
        <v>406</v>
      </c>
      <c r="C9" s="203" t="s">
        <v>245</v>
      </c>
      <c r="D9" s="203" t="s">
        <v>445</v>
      </c>
      <c r="E9" s="229" t="s">
        <v>519</v>
      </c>
    </row>
    <row r="10" spans="1:19" s="181" customFormat="1" ht="25.05" customHeight="1" x14ac:dyDescent="0.35">
      <c r="B10" s="203" t="s">
        <v>407</v>
      </c>
      <c r="C10" s="203" t="s">
        <v>245</v>
      </c>
      <c r="D10" s="203" t="s">
        <v>446</v>
      </c>
      <c r="E10" s="229" t="s">
        <v>518</v>
      </c>
    </row>
    <row r="11" spans="1:19" s="181" customFormat="1" ht="25.05" customHeight="1" x14ac:dyDescent="0.35">
      <c r="B11" s="203" t="s">
        <v>408</v>
      </c>
      <c r="C11" s="203" t="s">
        <v>246</v>
      </c>
      <c r="D11" s="203" t="s">
        <v>446</v>
      </c>
      <c r="E11" s="229" t="s">
        <v>411</v>
      </c>
    </row>
    <row r="12" spans="1:19" s="181" customFormat="1" ht="25.05" customHeight="1" x14ac:dyDescent="0.35">
      <c r="B12" s="203" t="s">
        <v>409</v>
      </c>
      <c r="C12" s="203" t="s">
        <v>291</v>
      </c>
      <c r="D12" s="203" t="s">
        <v>445</v>
      </c>
      <c r="E12" s="229" t="s">
        <v>412</v>
      </c>
    </row>
    <row r="13" spans="1:19" s="181" customFormat="1" ht="25.05" customHeight="1" x14ac:dyDescent="0.35">
      <c r="B13" s="203" t="s">
        <v>410</v>
      </c>
      <c r="C13" s="203" t="s">
        <v>291</v>
      </c>
      <c r="D13" s="203" t="s">
        <v>445</v>
      </c>
      <c r="E13" s="229" t="s">
        <v>503</v>
      </c>
    </row>
    <row r="14" spans="1:19" s="181" customFormat="1" ht="25.05" customHeight="1" x14ac:dyDescent="0.35">
      <c r="B14" s="203" t="s">
        <v>413</v>
      </c>
      <c r="C14" s="203" t="s">
        <v>291</v>
      </c>
      <c r="D14" s="203" t="s">
        <v>446</v>
      </c>
      <c r="E14" s="229" t="s">
        <v>504</v>
      </c>
    </row>
    <row r="15" spans="1:19" s="181" customFormat="1" ht="34.9" x14ac:dyDescent="0.35">
      <c r="B15" s="234" t="s">
        <v>414</v>
      </c>
      <c r="C15" s="234" t="s">
        <v>291</v>
      </c>
      <c r="D15" s="234" t="s">
        <v>423</v>
      </c>
      <c r="E15" s="229" t="s">
        <v>505</v>
      </c>
    </row>
    <row r="16" spans="1:19" s="181" customFormat="1" ht="35" customHeight="1" x14ac:dyDescent="0.35">
      <c r="A16" s="184"/>
      <c r="B16" s="203" t="s">
        <v>417</v>
      </c>
      <c r="C16" s="203" t="s">
        <v>416</v>
      </c>
      <c r="D16" s="203" t="s">
        <v>445</v>
      </c>
      <c r="E16" s="229" t="s">
        <v>507</v>
      </c>
    </row>
    <row r="17" spans="1:5" s="181" customFormat="1" ht="25.05" customHeight="1" x14ac:dyDescent="0.35">
      <c r="B17" s="203" t="s">
        <v>418</v>
      </c>
      <c r="C17" s="203" t="s">
        <v>415</v>
      </c>
      <c r="D17" s="203" t="s">
        <v>446</v>
      </c>
      <c r="E17" s="229" t="s">
        <v>506</v>
      </c>
    </row>
    <row r="18" spans="1:5" s="181" customFormat="1" ht="35" customHeight="1" x14ac:dyDescent="0.35">
      <c r="A18" s="184"/>
      <c r="B18" s="203" t="s">
        <v>419</v>
      </c>
      <c r="C18" s="235" t="s">
        <v>508</v>
      </c>
      <c r="D18" s="203" t="s">
        <v>510</v>
      </c>
      <c r="E18" s="229" t="s">
        <v>509</v>
      </c>
    </row>
    <row r="19" spans="1:5" s="181" customFormat="1" ht="25.05" customHeight="1" x14ac:dyDescent="0.35">
      <c r="A19" s="184"/>
      <c r="B19" s="203" t="s">
        <v>520</v>
      </c>
      <c r="C19" s="203" t="s">
        <v>512</v>
      </c>
      <c r="D19" s="203" t="s">
        <v>511</v>
      </c>
      <c r="E19" s="229" t="s">
        <v>420</v>
      </c>
    </row>
    <row r="20" spans="1:5" s="181" customFormat="1" ht="18" customHeight="1" x14ac:dyDescent="0.35">
      <c r="A20" s="184"/>
      <c r="B20" s="185"/>
    </row>
    <row r="21" spans="1:5" s="181" customFormat="1" ht="14.55" customHeight="1" x14ac:dyDescent="0.35">
      <c r="B21" s="240" t="s">
        <v>335</v>
      </c>
      <c r="C21" s="240"/>
      <c r="D21" s="240"/>
      <c r="E21" s="240"/>
    </row>
    <row r="22" spans="1:5" s="181" customFormat="1" ht="14.55" customHeight="1" x14ac:dyDescent="0.35">
      <c r="B22" s="241" t="s">
        <v>334</v>
      </c>
      <c r="C22" s="241"/>
      <c r="D22" s="241"/>
      <c r="E22" s="241"/>
    </row>
    <row r="23" spans="1:5" s="181" customFormat="1" ht="14.55" customHeight="1" x14ac:dyDescent="0.35">
      <c r="B23" s="236" t="s">
        <v>338</v>
      </c>
      <c r="C23" s="236"/>
      <c r="D23" s="236"/>
      <c r="E23" s="236"/>
    </row>
    <row r="24" spans="1:5" s="181" customFormat="1" ht="14.55" customHeight="1" x14ac:dyDescent="0.35">
      <c r="B24" s="182"/>
    </row>
    <row r="25" spans="1:5" s="181" customFormat="1" ht="14.55" customHeight="1" x14ac:dyDescent="0.35"/>
    <row r="26" spans="1:5" s="181" customFormat="1" ht="14.55" customHeight="1" x14ac:dyDescent="0.35"/>
  </sheetData>
  <mergeCells count="6">
    <mergeCell ref="B23:E23"/>
    <mergeCell ref="B2:E2"/>
    <mergeCell ref="B5:E5"/>
    <mergeCell ref="B3:E3"/>
    <mergeCell ref="B21:E21"/>
    <mergeCell ref="B22:E22"/>
  </mergeCells>
  <phoneticPr fontId="12" type="noConversion"/>
  <hyperlinks>
    <hyperlink ref="B21" r:id="rId1" xr:uid="{AC4B91F9-0DB1-4BC1-96DF-A204B40F72F8}"/>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7"/>
  <sheetViews>
    <sheetView showGridLines="0" zoomScaleNormal="100" workbookViewId="0">
      <pane xSplit="1" topLeftCell="B1" activePane="topRight" state="frozen"/>
      <selection pane="topRight" activeCell="G11" sqref="G11"/>
    </sheetView>
  </sheetViews>
  <sheetFormatPr defaultColWidth="8.796875" defaultRowHeight="13.5" x14ac:dyDescent="0.35"/>
  <cols>
    <col min="1" max="1" width="26.19921875" style="2" customWidth="1"/>
    <col min="2" max="2" width="1.796875" style="2" customWidth="1"/>
    <col min="3" max="3" width="20.796875" style="2" bestFit="1" customWidth="1"/>
    <col min="4" max="5" width="15.796875" style="2" customWidth="1"/>
    <col min="6" max="6" width="1.796875" style="2" customWidth="1"/>
    <col min="7" max="7" width="20.1328125" style="2" bestFit="1" customWidth="1"/>
    <col min="8" max="8" width="14.53125" style="2" bestFit="1" customWidth="1"/>
    <col min="9" max="9" width="1.796875" style="2" customWidth="1"/>
    <col min="10" max="10" width="13.796875" style="2" bestFit="1" customWidth="1"/>
    <col min="11" max="11" width="17.33203125" style="2" bestFit="1" customWidth="1"/>
    <col min="12" max="12" width="15.796875" style="2" customWidth="1"/>
    <col min="13" max="13" width="13.1328125" style="2" bestFit="1" customWidth="1"/>
    <col min="14" max="14" width="21.1328125" style="2" bestFit="1" customWidth="1"/>
    <col min="15" max="15" width="1.796875" style="2" customWidth="1"/>
    <col min="16" max="16" width="15.796875" style="2" bestFit="1" customWidth="1"/>
    <col min="17" max="17" width="12.796875" style="2" bestFit="1" customWidth="1"/>
    <col min="18" max="18" width="14.33203125" style="2" customWidth="1"/>
    <col min="19" max="19" width="1.796875" style="2" customWidth="1"/>
    <col min="20" max="20" width="23.6640625" style="2" customWidth="1"/>
    <col min="21" max="21" width="20.796875" style="2" customWidth="1"/>
    <col min="22" max="22" width="1.796875" style="2" customWidth="1"/>
    <col min="23" max="23" width="20.796875" style="2" customWidth="1"/>
    <col min="24" max="24" width="0.796875" style="225" customWidth="1"/>
    <col min="25" max="25" width="20.796875" style="2" customWidth="1"/>
    <col min="26" max="26" width="0.796875" style="225" customWidth="1"/>
    <col min="27" max="27" width="20.796875" style="2" customWidth="1"/>
    <col min="28" max="16384" width="8.796875" style="2"/>
  </cols>
  <sheetData>
    <row r="1" spans="1:27" ht="14.55" customHeight="1" x14ac:dyDescent="0.35">
      <c r="A1" s="180" t="s">
        <v>332</v>
      </c>
    </row>
    <row r="2" spans="1:27" ht="14.55" customHeight="1" x14ac:dyDescent="0.35"/>
    <row r="3" spans="1:27" s="175" customFormat="1" ht="18" customHeight="1" x14ac:dyDescent="0.45">
      <c r="C3" s="254" t="s">
        <v>20</v>
      </c>
      <c r="D3" s="254"/>
      <c r="E3" s="254"/>
      <c r="G3" s="254" t="s">
        <v>21</v>
      </c>
      <c r="H3" s="254"/>
      <c r="J3" s="263" t="s">
        <v>23</v>
      </c>
      <c r="K3" s="263"/>
      <c r="L3" s="263"/>
      <c r="M3" s="263"/>
      <c r="N3" s="263"/>
      <c r="P3" s="263" t="s">
        <v>24</v>
      </c>
      <c r="Q3" s="263"/>
      <c r="R3" s="263"/>
      <c r="T3" s="264" t="s">
        <v>153</v>
      </c>
      <c r="U3" s="264"/>
      <c r="W3" s="246" t="s">
        <v>368</v>
      </c>
      <c r="X3" s="246"/>
      <c r="Y3" s="246"/>
      <c r="Z3" s="246"/>
      <c r="AA3" s="246"/>
    </row>
    <row r="4" spans="1:27" s="6" customFormat="1" ht="18" customHeight="1" thickBot="1" x14ac:dyDescent="0.5">
      <c r="A4" s="46" t="s">
        <v>22</v>
      </c>
      <c r="C4" s="108" t="s">
        <v>8</v>
      </c>
      <c r="D4" s="108" t="s">
        <v>16</v>
      </c>
      <c r="E4" s="108" t="s">
        <v>26</v>
      </c>
      <c r="F4" s="125"/>
      <c r="G4" s="108" t="s">
        <v>8</v>
      </c>
      <c r="H4" s="108" t="s">
        <v>16</v>
      </c>
      <c r="I4" s="125"/>
      <c r="J4" s="114" t="s">
        <v>26</v>
      </c>
      <c r="K4" s="114" t="s">
        <v>48</v>
      </c>
      <c r="L4" s="114" t="s">
        <v>49</v>
      </c>
      <c r="M4" s="114" t="s">
        <v>50</v>
      </c>
      <c r="N4" s="114" t="s">
        <v>51</v>
      </c>
      <c r="O4" s="125"/>
      <c r="P4" s="126" t="s">
        <v>138</v>
      </c>
      <c r="Q4" s="126" t="s">
        <v>27</v>
      </c>
      <c r="R4" s="126" t="s">
        <v>26</v>
      </c>
      <c r="S4" s="125"/>
      <c r="T4" s="250" t="s">
        <v>431</v>
      </c>
      <c r="U4" s="265" t="s">
        <v>430</v>
      </c>
      <c r="V4" s="125"/>
      <c r="W4" s="220" t="s">
        <v>128</v>
      </c>
      <c r="X4" s="223"/>
      <c r="Y4" s="220" t="s">
        <v>46</v>
      </c>
      <c r="Z4" s="223"/>
      <c r="AA4" s="220" t="s">
        <v>425</v>
      </c>
    </row>
    <row r="5" spans="1:27" ht="14.55" customHeight="1" x14ac:dyDescent="0.35">
      <c r="A5" s="47" t="s">
        <v>15</v>
      </c>
      <c r="C5" s="174">
        <v>2.4</v>
      </c>
      <c r="D5" s="12">
        <f>60/C5</f>
        <v>25</v>
      </c>
      <c r="E5" s="14"/>
      <c r="G5" s="13"/>
      <c r="H5" s="14"/>
      <c r="J5" s="255">
        <v>15</v>
      </c>
      <c r="K5" s="257">
        <v>4</v>
      </c>
      <c r="L5" s="259">
        <f>8/3</f>
        <v>2.6666666666666665</v>
      </c>
      <c r="M5" s="261" t="s">
        <v>32</v>
      </c>
      <c r="N5" s="268">
        <f>60/(K5/L5)</f>
        <v>40</v>
      </c>
      <c r="P5" s="14"/>
      <c r="Q5" s="14"/>
      <c r="R5" s="14"/>
      <c r="T5" s="251"/>
      <c r="U5" s="265"/>
      <c r="W5" s="218" t="s">
        <v>432</v>
      </c>
      <c r="X5" s="224"/>
      <c r="Y5" s="218" t="s">
        <v>129</v>
      </c>
      <c r="Z5" s="224"/>
      <c r="AA5" s="218" t="s">
        <v>433</v>
      </c>
    </row>
    <row r="6" spans="1:27" ht="14.55" customHeight="1" thickBot="1" x14ac:dyDescent="0.4">
      <c r="A6" s="45" t="s">
        <v>14</v>
      </c>
      <c r="C6" s="173">
        <v>4</v>
      </c>
      <c r="D6" s="12">
        <f t="shared" ref="D6:D14" si="0">60/C6</f>
        <v>15</v>
      </c>
      <c r="E6" s="14"/>
      <c r="G6" s="14"/>
      <c r="H6" s="14"/>
      <c r="J6" s="256"/>
      <c r="K6" s="258"/>
      <c r="L6" s="260"/>
      <c r="M6" s="262"/>
      <c r="N6" s="269"/>
      <c r="P6" s="14"/>
      <c r="Q6" s="14"/>
      <c r="R6" s="14"/>
      <c r="T6" s="251"/>
      <c r="U6" s="265"/>
      <c r="W6" s="245" t="s">
        <v>439</v>
      </c>
      <c r="X6" s="200"/>
      <c r="Y6" s="245" t="s">
        <v>434</v>
      </c>
      <c r="Z6" s="219"/>
      <c r="AA6" s="245" t="s">
        <v>438</v>
      </c>
    </row>
    <row r="7" spans="1:27" ht="14.55" customHeight="1" x14ac:dyDescent="0.35">
      <c r="A7" s="8" t="s">
        <v>18</v>
      </c>
      <c r="C7" s="173">
        <v>24</v>
      </c>
      <c r="D7" s="11">
        <f t="shared" si="0"/>
        <v>2.5</v>
      </c>
      <c r="E7" s="14"/>
      <c r="G7" s="173">
        <v>17</v>
      </c>
      <c r="H7" s="11">
        <f t="shared" ref="H7" si="1">60/G7</f>
        <v>3.5294117647058822</v>
      </c>
      <c r="J7" s="167">
        <v>10</v>
      </c>
      <c r="K7" s="29">
        <f t="shared" ref="K7" si="2">60/J7</f>
        <v>6</v>
      </c>
      <c r="L7" s="171">
        <f>4/3</f>
        <v>1.3333333333333333</v>
      </c>
      <c r="M7" s="24" t="s">
        <v>31</v>
      </c>
      <c r="N7" s="24">
        <f t="shared" ref="N7" si="3">60/(K7/L7)</f>
        <v>13.333333333333334</v>
      </c>
      <c r="P7" s="14"/>
      <c r="Q7" s="14"/>
      <c r="R7" s="14"/>
      <c r="T7" s="251"/>
      <c r="U7" s="265"/>
      <c r="W7" s="243"/>
      <c r="X7" s="200"/>
      <c r="Y7" s="243"/>
      <c r="Z7" s="219"/>
      <c r="AA7" s="243"/>
    </row>
    <row r="8" spans="1:27" ht="14.55" customHeight="1" x14ac:dyDescent="0.35">
      <c r="A8" s="10" t="s">
        <v>19</v>
      </c>
      <c r="C8" s="173">
        <v>3</v>
      </c>
      <c r="D8" s="12">
        <f t="shared" si="0"/>
        <v>20</v>
      </c>
      <c r="E8" s="14"/>
      <c r="G8" s="14"/>
      <c r="H8" s="14"/>
      <c r="J8" s="167">
        <v>20</v>
      </c>
      <c r="K8" s="29">
        <f>60/J8</f>
        <v>3</v>
      </c>
      <c r="L8" s="171">
        <f>4/3</f>
        <v>1.3333333333333333</v>
      </c>
      <c r="M8" s="24" t="s">
        <v>32</v>
      </c>
      <c r="N8" s="24">
        <f>60/(K8/L8)</f>
        <v>26.666666666666668</v>
      </c>
      <c r="P8" s="14"/>
      <c r="Q8" s="14"/>
      <c r="R8" s="14"/>
      <c r="T8" s="251"/>
      <c r="U8" s="265"/>
      <c r="W8" s="243"/>
      <c r="X8" s="200"/>
      <c r="Y8" s="243"/>
      <c r="Z8" s="219"/>
      <c r="AA8" s="243"/>
    </row>
    <row r="9" spans="1:27" ht="14.55" customHeight="1" x14ac:dyDescent="0.35">
      <c r="A9" s="9" t="s">
        <v>25</v>
      </c>
      <c r="C9" s="14"/>
      <c r="D9" s="93"/>
      <c r="E9" s="173">
        <v>45</v>
      </c>
      <c r="G9" s="14"/>
      <c r="H9" s="14"/>
      <c r="J9" s="168">
        <v>45</v>
      </c>
      <c r="K9" s="103">
        <f>60/J9</f>
        <v>1.3333333333333333</v>
      </c>
      <c r="L9" s="170">
        <f>5/2</f>
        <v>2.5</v>
      </c>
      <c r="M9" s="94" t="s">
        <v>32</v>
      </c>
      <c r="N9" s="12">
        <f>60/(K9/L9)</f>
        <v>112.5</v>
      </c>
      <c r="P9" s="14"/>
      <c r="Q9" s="14"/>
      <c r="R9" s="14"/>
      <c r="T9" s="252"/>
      <c r="U9" s="211">
        <v>64</v>
      </c>
      <c r="W9" s="243"/>
      <c r="X9" s="200"/>
      <c r="Y9" s="243"/>
      <c r="Z9" s="219"/>
      <c r="AA9" s="243"/>
    </row>
    <row r="10" spans="1:27" ht="14.55" customHeight="1" thickBot="1" x14ac:dyDescent="0.4">
      <c r="A10" s="40" t="s">
        <v>116</v>
      </c>
      <c r="C10" s="173">
        <v>6</v>
      </c>
      <c r="D10" s="12">
        <f t="shared" si="0"/>
        <v>10</v>
      </c>
      <c r="E10" s="14"/>
      <c r="G10" s="173">
        <v>5</v>
      </c>
      <c r="H10" s="11">
        <f t="shared" ref="H10" si="4">60/G10</f>
        <v>12</v>
      </c>
      <c r="J10" s="169">
        <v>15</v>
      </c>
      <c r="K10" s="43">
        <f t="shared" ref="K10:K13" si="5">60/J10</f>
        <v>4</v>
      </c>
      <c r="L10" s="172">
        <f>4/3</f>
        <v>1.3333333333333333</v>
      </c>
      <c r="M10" s="42" t="s">
        <v>32</v>
      </c>
      <c r="N10" s="42">
        <f>60/(K10/L10)</f>
        <v>20</v>
      </c>
      <c r="P10" s="14"/>
      <c r="Q10" s="14"/>
      <c r="R10" s="14"/>
      <c r="T10" s="253" t="s">
        <v>154</v>
      </c>
      <c r="U10" s="214" t="s">
        <v>427</v>
      </c>
      <c r="W10" s="243"/>
      <c r="X10" s="200"/>
      <c r="Y10" s="243"/>
      <c r="Z10" s="219"/>
      <c r="AA10" s="243"/>
    </row>
    <row r="11" spans="1:27" ht="14.55" customHeight="1" x14ac:dyDescent="0.35">
      <c r="A11" s="44" t="s">
        <v>63</v>
      </c>
      <c r="C11" s="174">
        <v>2.4</v>
      </c>
      <c r="D11" s="12">
        <f t="shared" si="0"/>
        <v>25</v>
      </c>
      <c r="E11" s="14"/>
      <c r="G11" s="13"/>
      <c r="H11" s="14"/>
      <c r="J11" s="255">
        <v>45</v>
      </c>
      <c r="K11" s="257">
        <f t="shared" si="5"/>
        <v>1.3333333333333333</v>
      </c>
      <c r="L11" s="259">
        <f>5/2</f>
        <v>2.5</v>
      </c>
      <c r="M11" s="261" t="s">
        <v>32</v>
      </c>
      <c r="N11" s="268">
        <f>60/(K11/L11)</f>
        <v>112.5</v>
      </c>
      <c r="P11" s="14"/>
      <c r="Q11" s="14"/>
      <c r="R11" s="14"/>
      <c r="T11" s="253"/>
      <c r="U11" s="215" t="s">
        <v>428</v>
      </c>
      <c r="W11" s="244"/>
      <c r="X11" s="200"/>
      <c r="Y11" s="244"/>
      <c r="Z11" s="219"/>
      <c r="AA11" s="244"/>
    </row>
    <row r="12" spans="1:27" ht="14.55" customHeight="1" thickBot="1" x14ac:dyDescent="0.4">
      <c r="A12" s="45" t="s">
        <v>61</v>
      </c>
      <c r="C12" s="173">
        <v>4</v>
      </c>
      <c r="D12" s="12">
        <f t="shared" si="0"/>
        <v>15</v>
      </c>
      <c r="E12" s="14"/>
      <c r="G12" s="14"/>
      <c r="H12" s="14"/>
      <c r="J12" s="256"/>
      <c r="K12" s="258"/>
      <c r="L12" s="260"/>
      <c r="M12" s="262"/>
      <c r="N12" s="269"/>
      <c r="P12" s="14"/>
      <c r="Q12" s="14"/>
      <c r="R12" s="14"/>
      <c r="T12" s="253"/>
      <c r="U12" s="213"/>
      <c r="W12" s="221">
        <v>1</v>
      </c>
      <c r="X12" s="226"/>
      <c r="Y12" s="221">
        <v>0.3</v>
      </c>
      <c r="Z12" s="227"/>
      <c r="AA12" s="221">
        <v>0.14000000000000001</v>
      </c>
    </row>
    <row r="13" spans="1:27" ht="14.55" customHeight="1" x14ac:dyDescent="0.35">
      <c r="A13" s="41" t="s">
        <v>9</v>
      </c>
      <c r="C13" s="173">
        <v>6</v>
      </c>
      <c r="D13" s="12">
        <f t="shared" si="0"/>
        <v>10</v>
      </c>
      <c r="E13" s="14"/>
      <c r="G13" s="14"/>
      <c r="H13" s="14"/>
      <c r="J13" s="170">
        <v>37.5</v>
      </c>
      <c r="K13" s="43">
        <f t="shared" si="5"/>
        <v>1.6</v>
      </c>
      <c r="L13" s="170">
        <f>5/2</f>
        <v>2.5</v>
      </c>
      <c r="M13" s="94" t="s">
        <v>32</v>
      </c>
      <c r="N13" s="42">
        <f>60/(K13/L13)</f>
        <v>93.75</v>
      </c>
      <c r="P13" s="14"/>
      <c r="Q13" s="14"/>
      <c r="R13" s="14"/>
      <c r="T13" s="243" t="s">
        <v>429</v>
      </c>
      <c r="U13" s="247" t="s">
        <v>426</v>
      </c>
      <c r="W13" s="242" t="s">
        <v>440</v>
      </c>
      <c r="X13" s="222"/>
      <c r="Y13" s="217"/>
      <c r="Z13" s="217"/>
      <c r="AA13" s="217"/>
    </row>
    <row r="14" spans="1:27" ht="14.55" customHeight="1" x14ac:dyDescent="0.35">
      <c r="A14" s="8" t="s">
        <v>152</v>
      </c>
      <c r="C14" s="173">
        <v>24</v>
      </c>
      <c r="D14" s="11">
        <f t="shared" si="0"/>
        <v>2.5</v>
      </c>
      <c r="E14" s="14"/>
      <c r="G14" s="173">
        <v>17</v>
      </c>
      <c r="H14" s="11">
        <f t="shared" ref="H14" si="6">60/G14</f>
        <v>3.5294117647058822</v>
      </c>
      <c r="I14" s="15"/>
      <c r="J14" s="167">
        <v>12</v>
      </c>
      <c r="K14" s="29">
        <f>60/J14</f>
        <v>5</v>
      </c>
      <c r="L14" s="171">
        <f>4/3</f>
        <v>1.3333333333333333</v>
      </c>
      <c r="M14" s="24" t="s">
        <v>31</v>
      </c>
      <c r="N14" s="24">
        <f>60/(K14/L14)</f>
        <v>16</v>
      </c>
      <c r="O14" s="15"/>
      <c r="P14" s="14"/>
      <c r="Q14" s="14"/>
      <c r="R14" s="14"/>
      <c r="T14" s="243"/>
      <c r="U14" s="248"/>
      <c r="V14" s="15"/>
      <c r="W14" s="243"/>
      <c r="X14" s="219"/>
      <c r="Y14" s="217"/>
      <c r="Z14" s="217"/>
      <c r="AA14" s="217"/>
    </row>
    <row r="15" spans="1:27" ht="14.55" customHeight="1" x14ac:dyDescent="0.35">
      <c r="A15" s="8" t="s">
        <v>52</v>
      </c>
      <c r="C15" s="14"/>
      <c r="D15" s="14"/>
      <c r="E15" s="173">
        <f>240/12</f>
        <v>20</v>
      </c>
      <c r="G15" s="14"/>
      <c r="H15" s="14"/>
      <c r="I15" s="15"/>
      <c r="J15" s="14"/>
      <c r="K15" s="14"/>
      <c r="L15" s="14"/>
      <c r="M15" s="14"/>
      <c r="N15" s="14"/>
      <c r="O15" s="15"/>
      <c r="P15" s="167">
        <v>9</v>
      </c>
      <c r="Q15" s="29">
        <f>P15/3.75</f>
        <v>2.4</v>
      </c>
      <c r="R15" s="24">
        <f>60/Q15</f>
        <v>25</v>
      </c>
      <c r="T15" s="244"/>
      <c r="U15" s="248"/>
      <c r="V15" s="15"/>
      <c r="W15" s="243"/>
      <c r="X15" s="219"/>
      <c r="Y15" s="217"/>
      <c r="Z15" s="217"/>
      <c r="AA15" s="217"/>
    </row>
    <row r="16" spans="1:27" ht="14.55" customHeight="1" x14ac:dyDescent="0.35">
      <c r="A16" s="15"/>
      <c r="B16" s="15"/>
      <c r="C16" s="15"/>
      <c r="D16" s="15"/>
      <c r="E16" s="15"/>
      <c r="F16" s="15"/>
      <c r="G16" s="15"/>
      <c r="H16" s="15"/>
      <c r="I16" s="15"/>
      <c r="K16" s="15"/>
      <c r="L16" s="266" t="s">
        <v>106</v>
      </c>
      <c r="M16" s="91"/>
      <c r="N16" s="270"/>
      <c r="O16" s="15"/>
      <c r="R16" s="15" t="s">
        <v>34</v>
      </c>
      <c r="S16" s="15"/>
      <c r="T16" s="15"/>
      <c r="U16" s="248"/>
      <c r="V16" s="15"/>
      <c r="W16" s="244"/>
      <c r="X16" s="219"/>
    </row>
    <row r="17" spans="1:27" ht="14.55" customHeight="1" x14ac:dyDescent="0.35">
      <c r="A17" s="15"/>
      <c r="B17" s="15"/>
      <c r="C17" s="15"/>
      <c r="D17" s="15"/>
      <c r="E17" s="15"/>
      <c r="F17" s="15"/>
      <c r="G17" s="15"/>
      <c r="H17" s="36"/>
      <c r="I17" s="15"/>
      <c r="K17" s="15"/>
      <c r="L17" s="267"/>
      <c r="M17" s="92"/>
      <c r="N17" s="271"/>
      <c r="O17" s="15"/>
      <c r="S17" s="15"/>
      <c r="T17" s="124"/>
      <c r="U17" s="249"/>
      <c r="V17" s="15"/>
      <c r="W17" s="221">
        <v>0.3</v>
      </c>
      <c r="X17" s="227"/>
    </row>
    <row r="18" spans="1:27" ht="14.55" customHeight="1" x14ac:dyDescent="0.35">
      <c r="A18" s="15"/>
      <c r="B18" s="15"/>
      <c r="C18" s="15"/>
      <c r="D18" s="15"/>
      <c r="E18" s="15"/>
      <c r="F18" s="15"/>
      <c r="G18" s="15"/>
      <c r="H18" s="15"/>
      <c r="I18" s="15"/>
      <c r="K18" s="15"/>
      <c r="L18" s="267"/>
      <c r="M18" s="15"/>
      <c r="N18" s="15"/>
      <c r="O18" s="15"/>
      <c r="R18" s="15"/>
      <c r="S18" s="15"/>
      <c r="U18" s="212">
        <v>1</v>
      </c>
      <c r="V18" s="15"/>
    </row>
    <row r="19" spans="1:27" ht="14.55" customHeight="1" x14ac:dyDescent="0.35">
      <c r="A19" s="15"/>
      <c r="B19" s="15"/>
      <c r="C19" s="15"/>
      <c r="D19" s="15"/>
      <c r="E19" s="15"/>
      <c r="F19" s="15"/>
      <c r="G19" s="15"/>
      <c r="H19" s="15"/>
      <c r="I19" s="5"/>
      <c r="K19" s="15"/>
      <c r="L19" s="267"/>
      <c r="M19" s="15"/>
      <c r="N19" s="15"/>
      <c r="O19" s="15"/>
      <c r="P19" s="15"/>
      <c r="Q19" s="15"/>
      <c r="R19" s="15"/>
      <c r="S19" s="15"/>
      <c r="T19" s="216"/>
      <c r="U19" s="216"/>
      <c r="V19" s="15"/>
      <c r="W19" s="15"/>
      <c r="X19" s="228"/>
      <c r="Y19" s="15"/>
      <c r="Z19" s="228"/>
      <c r="AA19" s="15"/>
    </row>
    <row r="20" spans="1:27" ht="14.55" customHeight="1" x14ac:dyDescent="0.35">
      <c r="A20" s="15"/>
      <c r="B20" s="15"/>
      <c r="C20" s="15"/>
      <c r="D20" s="15"/>
      <c r="E20" s="15"/>
      <c r="F20" s="15"/>
      <c r="G20" s="15"/>
      <c r="H20" s="15"/>
      <c r="I20" s="5"/>
      <c r="K20" s="15"/>
      <c r="L20" s="15"/>
      <c r="M20" s="15"/>
      <c r="N20" s="15"/>
      <c r="O20" s="15"/>
      <c r="P20" s="15"/>
      <c r="Q20" s="15"/>
      <c r="R20" s="15"/>
      <c r="S20" s="15"/>
      <c r="T20" s="216"/>
      <c r="U20" s="216"/>
      <c r="V20" s="15"/>
      <c r="W20" s="15"/>
      <c r="X20" s="228"/>
      <c r="Y20" s="15"/>
      <c r="Z20" s="228"/>
      <c r="AA20" s="15"/>
    </row>
    <row r="21" spans="1:27" ht="14.55" customHeight="1" x14ac:dyDescent="0.35">
      <c r="A21" s="15"/>
      <c r="B21" s="5"/>
      <c r="C21" s="5"/>
      <c r="D21" s="5"/>
      <c r="E21" s="5"/>
      <c r="F21" s="5"/>
      <c r="G21" s="5"/>
      <c r="H21" s="15"/>
      <c r="I21" s="5"/>
      <c r="K21" s="15"/>
      <c r="L21" s="15"/>
      <c r="M21" s="15"/>
      <c r="N21" s="15"/>
      <c r="O21" s="15"/>
      <c r="P21" s="15"/>
      <c r="Q21" s="15"/>
      <c r="R21" s="15"/>
      <c r="S21" s="15"/>
      <c r="T21" s="216"/>
      <c r="U21" s="216"/>
      <c r="V21" s="15"/>
      <c r="W21" s="15"/>
      <c r="X21" s="228"/>
      <c r="Y21" s="15"/>
      <c r="Z21" s="228"/>
      <c r="AA21" s="15"/>
    </row>
    <row r="22" spans="1:27" ht="14.55" customHeight="1" x14ac:dyDescent="0.35">
      <c r="A22" s="15"/>
      <c r="B22" s="5"/>
      <c r="C22" s="5"/>
      <c r="D22" s="5"/>
      <c r="E22" s="5"/>
      <c r="F22" s="5"/>
      <c r="G22" s="5"/>
      <c r="H22" s="15"/>
      <c r="I22" s="22"/>
      <c r="S22" s="15"/>
      <c r="T22" s="15"/>
    </row>
    <row r="23" spans="1:27" ht="14.55" customHeight="1" x14ac:dyDescent="0.35">
      <c r="A23" s="15"/>
      <c r="B23" s="5"/>
      <c r="C23" s="5"/>
      <c r="D23" s="5"/>
      <c r="E23" s="5"/>
      <c r="F23" s="5"/>
      <c r="G23" s="5"/>
      <c r="H23" s="15"/>
      <c r="I23" s="22"/>
      <c r="S23" s="15"/>
      <c r="T23" s="15"/>
    </row>
    <row r="24" spans="1:27" ht="14.55" customHeight="1" x14ac:dyDescent="0.35">
      <c r="A24" s="15"/>
      <c r="B24" s="22"/>
      <c r="C24" s="22"/>
      <c r="D24" s="22"/>
      <c r="E24" s="22"/>
      <c r="F24" s="22"/>
      <c r="G24" s="22"/>
      <c r="I24" s="22"/>
    </row>
    <row r="25" spans="1:27" ht="14.55" customHeight="1" x14ac:dyDescent="0.35">
      <c r="A25" s="15"/>
      <c r="B25" s="22"/>
      <c r="C25" s="22"/>
      <c r="D25" s="22"/>
      <c r="E25" s="22"/>
      <c r="F25" s="22"/>
      <c r="G25" s="22"/>
    </row>
    <row r="26" spans="1:27" ht="14.55" customHeight="1" x14ac:dyDescent="0.35">
      <c r="A26" s="15"/>
      <c r="B26" s="22"/>
      <c r="C26" s="22"/>
      <c r="D26" s="22"/>
      <c r="E26" s="22"/>
      <c r="F26" s="22"/>
      <c r="G26" s="22"/>
    </row>
    <row r="27" spans="1:27" ht="14.55" customHeight="1" x14ac:dyDescent="0.35">
      <c r="A27" s="15"/>
      <c r="J27" s="15"/>
    </row>
    <row r="28" spans="1:27" ht="14.55" customHeight="1" x14ac:dyDescent="0.35">
      <c r="A28" s="15"/>
      <c r="J28" s="15"/>
    </row>
    <row r="29" spans="1:27" ht="14.55" customHeight="1" x14ac:dyDescent="0.35">
      <c r="J29" s="15"/>
    </row>
    <row r="30" spans="1:27" ht="14.55" customHeight="1" x14ac:dyDescent="0.35">
      <c r="C30" s="4"/>
      <c r="J30" s="15"/>
    </row>
    <row r="31" spans="1:27" ht="14.55" customHeight="1" x14ac:dyDescent="0.35">
      <c r="C31" s="4"/>
      <c r="J31" s="15"/>
    </row>
    <row r="32" spans="1:27" ht="14.55" customHeight="1" x14ac:dyDescent="0.35">
      <c r="J32" s="5"/>
    </row>
    <row r="33" spans="10:10" ht="14.55" customHeight="1" x14ac:dyDescent="0.35">
      <c r="J33" s="5"/>
    </row>
    <row r="34" spans="10:10" x14ac:dyDescent="0.35">
      <c r="J34" s="5"/>
    </row>
    <row r="35" spans="10:10" x14ac:dyDescent="0.35">
      <c r="J35" s="22"/>
    </row>
    <row r="36" spans="10:10" x14ac:dyDescent="0.35">
      <c r="J36" s="22"/>
    </row>
    <row r="37" spans="10:10" x14ac:dyDescent="0.35">
      <c r="J37" s="22"/>
    </row>
  </sheetData>
  <sortState xmlns:xlrd2="http://schemas.microsoft.com/office/spreadsheetml/2017/richdata2" ref="A4:A13">
    <sortCondition ref="A4"/>
  </sortState>
  <mergeCells count="27">
    <mergeCell ref="N11:N12"/>
    <mergeCell ref="N16:N17"/>
    <mergeCell ref="J11:J12"/>
    <mergeCell ref="K11:K12"/>
    <mergeCell ref="L11:L12"/>
    <mergeCell ref="M11:M12"/>
    <mergeCell ref="U13:U17"/>
    <mergeCell ref="T4:T9"/>
    <mergeCell ref="T10:T12"/>
    <mergeCell ref="T13:T15"/>
    <mergeCell ref="C3:E3"/>
    <mergeCell ref="J5:J6"/>
    <mergeCell ref="K5:K6"/>
    <mergeCell ref="L5:L6"/>
    <mergeCell ref="M5:M6"/>
    <mergeCell ref="G3:H3"/>
    <mergeCell ref="P3:R3"/>
    <mergeCell ref="J3:N3"/>
    <mergeCell ref="T3:U3"/>
    <mergeCell ref="U4:U8"/>
    <mergeCell ref="L16:L19"/>
    <mergeCell ref="N5:N6"/>
    <mergeCell ref="W13:W16"/>
    <mergeCell ref="Y6:Y11"/>
    <mergeCell ref="AA6:AA11"/>
    <mergeCell ref="W3:AA3"/>
    <mergeCell ref="W6:W11"/>
  </mergeCells>
  <phoneticPr fontId="12" type="noConversion"/>
  <pageMargins left="0.7" right="0.7" top="0.75" bottom="0.75" header="0.3" footer="0.3"/>
  <pageSetup paperSize="9" orientation="portrait" r:id="rId1"/>
  <ignoredErrors>
    <ignoredError sqref="L9:L10"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F24B-1B7F-4E37-A962-BB8FC4359E4A}">
  <dimension ref="A1:M29"/>
  <sheetViews>
    <sheetView showGridLines="0" zoomScaleNormal="100" workbookViewId="0">
      <pane xSplit="1" topLeftCell="B1" activePane="topRight" state="frozen"/>
      <selection pane="topRight" activeCell="I28" sqref="I28"/>
    </sheetView>
  </sheetViews>
  <sheetFormatPr defaultColWidth="8.796875" defaultRowHeight="13.5" x14ac:dyDescent="0.35"/>
  <cols>
    <col min="1" max="1" width="55.53125" style="2" customWidth="1"/>
    <col min="2" max="2" width="1.796875" style="2" customWidth="1"/>
    <col min="3" max="4" width="15.6640625" style="2" customWidth="1"/>
    <col min="5" max="5" width="1.796875" style="2" customWidth="1"/>
    <col min="6" max="7" width="15.6640625" style="2" customWidth="1"/>
    <col min="8" max="8" width="1.796875" style="2" customWidth="1"/>
    <col min="9" max="10" width="15.6640625" style="2" customWidth="1"/>
    <col min="11" max="11" width="1.796875" style="2" customWidth="1"/>
    <col min="12" max="13" width="15.6640625" style="2" customWidth="1"/>
    <col min="14" max="16384" width="8.796875" style="2"/>
  </cols>
  <sheetData>
    <row r="1" spans="1:13" x14ac:dyDescent="0.35">
      <c r="A1" s="180" t="s">
        <v>28</v>
      </c>
    </row>
    <row r="2" spans="1:13" x14ac:dyDescent="0.35">
      <c r="G2" s="154" t="s">
        <v>234</v>
      </c>
      <c r="M2" s="154" t="s">
        <v>234</v>
      </c>
    </row>
    <row r="3" spans="1:13" s="175" customFormat="1" ht="20" customHeight="1" x14ac:dyDescent="0.45">
      <c r="C3" s="254" t="s">
        <v>20</v>
      </c>
      <c r="D3" s="254"/>
      <c r="F3" s="254" t="s">
        <v>21</v>
      </c>
      <c r="G3" s="254"/>
      <c r="I3" s="263" t="s">
        <v>23</v>
      </c>
      <c r="J3" s="263"/>
      <c r="L3" s="263" t="s">
        <v>24</v>
      </c>
      <c r="M3" s="263"/>
    </row>
    <row r="4" spans="1:13" s="20" customFormat="1" ht="15" customHeight="1" x14ac:dyDescent="0.4">
      <c r="A4" s="16" t="s">
        <v>10</v>
      </c>
      <c r="C4" s="21">
        <v>260</v>
      </c>
      <c r="D4" s="21" t="s">
        <v>13</v>
      </c>
      <c r="F4" s="21">
        <v>260</v>
      </c>
      <c r="G4" s="21" t="s">
        <v>13</v>
      </c>
      <c r="I4" s="21">
        <v>260</v>
      </c>
      <c r="J4" s="21" t="s">
        <v>13</v>
      </c>
      <c r="L4" s="21">
        <v>260</v>
      </c>
      <c r="M4" s="21" t="s">
        <v>13</v>
      </c>
    </row>
    <row r="5" spans="1:13" s="17" customFormat="1" ht="15" customHeight="1" x14ac:dyDescent="0.35">
      <c r="A5" s="9" t="s">
        <v>11</v>
      </c>
      <c r="C5" s="173">
        <v>33</v>
      </c>
      <c r="D5" s="12" t="s">
        <v>13</v>
      </c>
      <c r="F5" s="173">
        <v>33</v>
      </c>
      <c r="G5" s="12" t="s">
        <v>13</v>
      </c>
      <c r="I5" s="167">
        <v>33</v>
      </c>
      <c r="J5" s="12" t="s">
        <v>13</v>
      </c>
      <c r="L5" s="167">
        <v>33</v>
      </c>
      <c r="M5" s="12" t="s">
        <v>13</v>
      </c>
    </row>
    <row r="6" spans="1:13" s="17" customFormat="1" ht="15" customHeight="1" x14ac:dyDescent="0.35">
      <c r="A6" s="9" t="s">
        <v>12</v>
      </c>
      <c r="C6" s="173">
        <v>8</v>
      </c>
      <c r="D6" s="12" t="s">
        <v>13</v>
      </c>
      <c r="F6" s="173">
        <v>8</v>
      </c>
      <c r="G6" s="12" t="s">
        <v>13</v>
      </c>
      <c r="I6" s="167">
        <v>8</v>
      </c>
      <c r="J6" s="12" t="s">
        <v>13</v>
      </c>
      <c r="L6" s="167">
        <v>8</v>
      </c>
      <c r="M6" s="12" t="s">
        <v>13</v>
      </c>
    </row>
    <row r="7" spans="1:13" s="17" customFormat="1" ht="15" customHeight="1" x14ac:dyDescent="0.35">
      <c r="A7" s="9" t="s">
        <v>156</v>
      </c>
      <c r="C7" s="173">
        <v>9</v>
      </c>
      <c r="D7" s="12" t="s">
        <v>13</v>
      </c>
      <c r="F7" s="173">
        <v>9</v>
      </c>
      <c r="G7" s="12" t="s">
        <v>13</v>
      </c>
      <c r="I7" s="167">
        <v>9</v>
      </c>
      <c r="J7" s="12" t="s">
        <v>13</v>
      </c>
      <c r="L7" s="167">
        <v>9</v>
      </c>
      <c r="M7" s="12" t="s">
        <v>13</v>
      </c>
    </row>
    <row r="8" spans="1:13" s="17" customFormat="1" ht="15" customHeight="1" x14ac:dyDescent="0.35">
      <c r="A8" s="9" t="s">
        <v>323</v>
      </c>
      <c r="C8" s="173">
        <v>10</v>
      </c>
      <c r="D8" s="12" t="s">
        <v>13</v>
      </c>
      <c r="F8" s="14"/>
      <c r="G8" s="14"/>
      <c r="I8" s="14"/>
      <c r="J8" s="14"/>
      <c r="L8" s="14"/>
      <c r="M8" s="14"/>
    </row>
    <row r="9" spans="1:13" s="17" customFormat="1" ht="15" customHeight="1" x14ac:dyDescent="0.35">
      <c r="A9" s="9" t="s">
        <v>324</v>
      </c>
      <c r="C9" s="14"/>
      <c r="D9" s="14"/>
      <c r="F9" s="173">
        <v>6</v>
      </c>
      <c r="G9" s="12" t="s">
        <v>13</v>
      </c>
      <c r="I9" s="167">
        <v>6</v>
      </c>
      <c r="J9" s="12" t="s">
        <v>13</v>
      </c>
      <c r="L9" s="176">
        <v>6</v>
      </c>
      <c r="M9" s="12" t="s">
        <v>13</v>
      </c>
    </row>
    <row r="10" spans="1:13" s="20" customFormat="1" ht="15" customHeight="1" thickBot="1" x14ac:dyDescent="0.45">
      <c r="A10" s="177" t="s">
        <v>325</v>
      </c>
      <c r="C10" s="95">
        <f>C4-C5-C6-C7-C8</f>
        <v>200</v>
      </c>
      <c r="D10" s="95" t="s">
        <v>13</v>
      </c>
      <c r="F10" s="95">
        <f>F4-F5-F6-F7-F9</f>
        <v>204</v>
      </c>
      <c r="G10" s="95" t="s">
        <v>13</v>
      </c>
      <c r="I10" s="95">
        <f>I4-I5-I6-I7-I9</f>
        <v>204</v>
      </c>
      <c r="J10" s="95" t="s">
        <v>13</v>
      </c>
      <c r="L10" s="95">
        <f>L4-L5-L6-L7-L9</f>
        <v>204</v>
      </c>
      <c r="M10" s="95" t="s">
        <v>13</v>
      </c>
    </row>
    <row r="11" spans="1:13" s="17" customFormat="1" ht="15" customHeight="1" x14ac:dyDescent="0.35">
      <c r="A11" s="277" t="s">
        <v>327</v>
      </c>
      <c r="C11" s="99">
        <v>0.5</v>
      </c>
      <c r="D11" s="94" t="s">
        <v>119</v>
      </c>
      <c r="F11" s="99">
        <v>0.4</v>
      </c>
      <c r="G11" s="94" t="s">
        <v>119</v>
      </c>
      <c r="I11" s="276" t="s">
        <v>31</v>
      </c>
      <c r="J11" s="276"/>
      <c r="L11" s="100">
        <v>0.15</v>
      </c>
      <c r="M11" s="94" t="s">
        <v>122</v>
      </c>
    </row>
    <row r="12" spans="1:13" s="17" customFormat="1" ht="15" customHeight="1" thickBot="1" x14ac:dyDescent="0.4">
      <c r="A12" s="278"/>
      <c r="C12" s="127">
        <f>C11*C10</f>
        <v>100</v>
      </c>
      <c r="D12" s="96" t="s">
        <v>13</v>
      </c>
      <c r="F12" s="127">
        <f>F11*F10</f>
        <v>81.600000000000009</v>
      </c>
      <c r="G12" s="96" t="s">
        <v>13</v>
      </c>
      <c r="I12" s="100">
        <v>0.1</v>
      </c>
      <c r="J12" s="94" t="s">
        <v>122</v>
      </c>
      <c r="L12" s="127">
        <f>L11*L10</f>
        <v>30.599999999999998</v>
      </c>
      <c r="M12" s="96" t="s">
        <v>13</v>
      </c>
    </row>
    <row r="13" spans="1:13" s="17" customFormat="1" ht="15" customHeight="1" thickBot="1" x14ac:dyDescent="0.45">
      <c r="A13" s="272" t="s">
        <v>326</v>
      </c>
      <c r="C13" s="101">
        <f>C10-C12</f>
        <v>100</v>
      </c>
      <c r="D13" s="97" t="s">
        <v>120</v>
      </c>
      <c r="E13" s="20"/>
      <c r="F13" s="98">
        <f>F10-F12</f>
        <v>122.39999999999999</v>
      </c>
      <c r="G13" s="97" t="s">
        <v>136</v>
      </c>
      <c r="I13" s="127">
        <f>I12*I$10</f>
        <v>20.400000000000002</v>
      </c>
      <c r="J13" s="96" t="s">
        <v>13</v>
      </c>
      <c r="L13" s="98">
        <f>L10-L12</f>
        <v>173.4</v>
      </c>
      <c r="M13" s="97" t="s">
        <v>123</v>
      </c>
    </row>
    <row r="14" spans="1:13" s="17" customFormat="1" ht="15" customHeight="1" x14ac:dyDescent="0.35">
      <c r="A14" s="273"/>
      <c r="C14" s="19">
        <f>C13*8</f>
        <v>800</v>
      </c>
      <c r="D14" s="12" t="s">
        <v>121</v>
      </c>
      <c r="F14" s="12">
        <f>F13*7.5</f>
        <v>917.99999999999989</v>
      </c>
      <c r="G14" s="12" t="s">
        <v>121</v>
      </c>
      <c r="I14" s="98">
        <f>I$10-I13</f>
        <v>183.6</v>
      </c>
      <c r="J14" s="97" t="s">
        <v>123</v>
      </c>
      <c r="L14" s="12">
        <f>L13*7.5</f>
        <v>1300.5</v>
      </c>
      <c r="M14" s="12" t="s">
        <v>121</v>
      </c>
    </row>
    <row r="15" spans="1:13" s="17" customFormat="1" ht="15" customHeight="1" x14ac:dyDescent="0.35">
      <c r="A15" s="274"/>
      <c r="C15" s="12">
        <f>C14*60</f>
        <v>48000</v>
      </c>
      <c r="D15" s="12" t="s">
        <v>17</v>
      </c>
      <c r="F15" s="12">
        <f>F14*60</f>
        <v>55079.999999999993</v>
      </c>
      <c r="G15" s="12" t="s">
        <v>17</v>
      </c>
      <c r="I15" s="12">
        <f>I14*7.5</f>
        <v>1377</v>
      </c>
      <c r="J15" s="12" t="s">
        <v>121</v>
      </c>
      <c r="L15" s="12">
        <f>L14*60</f>
        <v>78030</v>
      </c>
      <c r="M15" s="12" t="s">
        <v>17</v>
      </c>
    </row>
    <row r="16" spans="1:13" s="17" customFormat="1" ht="15" customHeight="1" x14ac:dyDescent="0.35">
      <c r="A16" s="18"/>
      <c r="B16" s="18"/>
      <c r="C16" s="15"/>
      <c r="D16" s="15" t="s">
        <v>29</v>
      </c>
      <c r="E16" s="15"/>
      <c r="F16" s="15"/>
      <c r="G16" s="15" t="s">
        <v>30</v>
      </c>
      <c r="I16" s="12">
        <f>I15*60</f>
        <v>82620</v>
      </c>
      <c r="J16" s="12" t="s">
        <v>17</v>
      </c>
      <c r="L16" s="18"/>
      <c r="M16" s="18" t="s">
        <v>30</v>
      </c>
    </row>
    <row r="17" spans="1:13" s="17" customFormat="1" ht="15" customHeight="1" x14ac:dyDescent="0.35">
      <c r="A17" s="279" t="s">
        <v>328</v>
      </c>
      <c r="B17" s="18"/>
      <c r="C17" s="15"/>
      <c r="D17" s="15"/>
      <c r="E17" s="15"/>
      <c r="F17" s="15"/>
      <c r="I17" s="276" t="s">
        <v>32</v>
      </c>
      <c r="J17" s="276"/>
      <c r="L17" s="15"/>
      <c r="M17" s="15"/>
    </row>
    <row r="18" spans="1:13" s="17" customFormat="1" ht="15" customHeight="1" x14ac:dyDescent="0.35">
      <c r="A18" s="279"/>
      <c r="B18" s="15"/>
      <c r="C18" s="15"/>
      <c r="D18" s="15"/>
      <c r="E18" s="15"/>
      <c r="F18" s="15"/>
      <c r="G18" s="15"/>
      <c r="I18" s="100">
        <v>0.3</v>
      </c>
      <c r="J18" s="94" t="s">
        <v>122</v>
      </c>
      <c r="L18" s="15"/>
      <c r="M18" s="15"/>
    </row>
    <row r="19" spans="1:13" s="17" customFormat="1" ht="15" customHeight="1" thickBot="1" x14ac:dyDescent="0.4">
      <c r="A19" s="15"/>
      <c r="B19" s="15"/>
      <c r="C19" s="15"/>
      <c r="D19" s="15"/>
      <c r="E19" s="15"/>
      <c r="F19" s="15"/>
      <c r="G19" s="15"/>
      <c r="H19" s="18"/>
      <c r="I19" s="127">
        <f>I18*I$10</f>
        <v>61.199999999999996</v>
      </c>
      <c r="J19" s="96" t="s">
        <v>13</v>
      </c>
      <c r="K19" s="18"/>
      <c r="L19" s="15"/>
      <c r="M19" s="15"/>
    </row>
    <row r="20" spans="1:13" s="17" customFormat="1" ht="15" customHeight="1" x14ac:dyDescent="0.35">
      <c r="A20" s="15"/>
      <c r="B20" s="15"/>
      <c r="C20" s="15"/>
      <c r="D20" s="15"/>
      <c r="E20" s="15"/>
      <c r="F20" s="15"/>
      <c r="G20" s="15"/>
      <c r="H20" s="18"/>
      <c r="I20" s="98">
        <f>I$10-I19</f>
        <v>142.80000000000001</v>
      </c>
      <c r="J20" s="97" t="s">
        <v>123</v>
      </c>
      <c r="K20" s="18"/>
      <c r="L20" s="15"/>
      <c r="M20" s="15"/>
    </row>
    <row r="21" spans="1:13" ht="15" customHeight="1" x14ac:dyDescent="0.35">
      <c r="A21" s="15"/>
      <c r="B21" s="15"/>
      <c r="H21" s="15"/>
      <c r="I21" s="12">
        <f>I20*7.5</f>
        <v>1071</v>
      </c>
      <c r="J21" s="12" t="s">
        <v>121</v>
      </c>
      <c r="K21" s="15"/>
      <c r="L21" s="15"/>
      <c r="M21" s="15"/>
    </row>
    <row r="22" spans="1:13" ht="15" customHeight="1" x14ac:dyDescent="0.35">
      <c r="A22" s="15"/>
      <c r="B22" s="15"/>
      <c r="H22" s="15"/>
      <c r="I22" s="12">
        <f>I21*60</f>
        <v>64260</v>
      </c>
      <c r="J22" s="12" t="s">
        <v>17</v>
      </c>
      <c r="K22" s="15"/>
      <c r="L22" s="15"/>
      <c r="M22" s="15"/>
    </row>
    <row r="23" spans="1:13" ht="15" customHeight="1" x14ac:dyDescent="0.35">
      <c r="A23" s="15"/>
      <c r="B23" s="15"/>
      <c r="H23" s="15"/>
      <c r="I23" s="275" t="s">
        <v>155</v>
      </c>
      <c r="J23" s="275"/>
      <c r="K23" s="15"/>
    </row>
    <row r="24" spans="1:13" ht="15" customHeight="1" x14ac:dyDescent="0.35">
      <c r="H24" s="15"/>
      <c r="I24" s="100">
        <v>0.7</v>
      </c>
      <c r="J24" s="94" t="s">
        <v>122</v>
      </c>
      <c r="K24" s="15"/>
    </row>
    <row r="25" spans="1:13" ht="15" customHeight="1" thickBot="1" x14ac:dyDescent="0.4">
      <c r="H25" s="15"/>
      <c r="I25" s="127">
        <f>I24*I$10</f>
        <v>142.79999999999998</v>
      </c>
      <c r="J25" s="96" t="s">
        <v>13</v>
      </c>
      <c r="K25" s="15"/>
    </row>
    <row r="26" spans="1:13" ht="15" customHeight="1" x14ac:dyDescent="0.35">
      <c r="H26" s="15"/>
      <c r="I26" s="98">
        <f>I$10-I25</f>
        <v>61.200000000000017</v>
      </c>
      <c r="J26" s="97" t="s">
        <v>123</v>
      </c>
      <c r="K26" s="15"/>
    </row>
    <row r="27" spans="1:13" ht="15" customHeight="1" x14ac:dyDescent="0.35">
      <c r="I27" s="12">
        <f>I26*7.5</f>
        <v>459.00000000000011</v>
      </c>
      <c r="J27" s="12" t="s">
        <v>121</v>
      </c>
    </row>
    <row r="28" spans="1:13" ht="15" customHeight="1" x14ac:dyDescent="0.35">
      <c r="I28" s="12">
        <f>I27*60</f>
        <v>27540.000000000007</v>
      </c>
      <c r="J28" s="12" t="s">
        <v>17</v>
      </c>
    </row>
    <row r="29" spans="1:13" ht="15" customHeight="1" x14ac:dyDescent="0.35">
      <c r="I29" s="15"/>
      <c r="J29" s="18" t="s">
        <v>30</v>
      </c>
    </row>
  </sheetData>
  <mergeCells count="10">
    <mergeCell ref="L3:M3"/>
    <mergeCell ref="A13:A15"/>
    <mergeCell ref="I23:J23"/>
    <mergeCell ref="I17:J17"/>
    <mergeCell ref="I11:J11"/>
    <mergeCell ref="C3:D3"/>
    <mergeCell ref="F3:G3"/>
    <mergeCell ref="I3:J3"/>
    <mergeCell ref="A11:A12"/>
    <mergeCell ref="A17:A1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60694-96BC-42F6-B3EB-0D64C910ED08}">
  <dimension ref="A1:T66"/>
  <sheetViews>
    <sheetView showGridLines="0" zoomScaleNormal="100" workbookViewId="0">
      <pane xSplit="1" topLeftCell="B1" activePane="topRight" state="frozen"/>
      <selection pane="topRight" activeCell="C14" sqref="C14"/>
    </sheetView>
  </sheetViews>
  <sheetFormatPr defaultColWidth="8.796875" defaultRowHeight="14.25" x14ac:dyDescent="0.45"/>
  <cols>
    <col min="1" max="1" width="25.6640625" style="7" customWidth="1"/>
    <col min="2" max="16" width="20.6640625" style="7" customWidth="1"/>
    <col min="17" max="16384" width="8.796875" style="7"/>
  </cols>
  <sheetData>
    <row r="1" spans="1:15" x14ac:dyDescent="0.45">
      <c r="A1" s="59" t="s">
        <v>333</v>
      </c>
    </row>
    <row r="2" spans="1:15" x14ac:dyDescent="0.45">
      <c r="A2" s="59"/>
    </row>
    <row r="3" spans="1:15" x14ac:dyDescent="0.45">
      <c r="A3" s="301" t="s">
        <v>160</v>
      </c>
      <c r="B3" s="3"/>
      <c r="C3" s="3"/>
      <c r="D3" s="3"/>
      <c r="E3" s="3"/>
      <c r="F3" s="3"/>
      <c r="H3"/>
      <c r="I3"/>
      <c r="J3"/>
      <c r="K3"/>
      <c r="L3"/>
      <c r="M3"/>
    </row>
    <row r="4" spans="1:15" s="63" customFormat="1" ht="20" customHeight="1" x14ac:dyDescent="0.45">
      <c r="A4" s="302"/>
      <c r="B4" s="306" t="s">
        <v>330</v>
      </c>
      <c r="C4" s="306"/>
      <c r="D4" s="306"/>
      <c r="E4" s="306"/>
      <c r="F4" s="306"/>
      <c r="G4" s="179" t="s">
        <v>329</v>
      </c>
      <c r="K4" s="136"/>
      <c r="L4" s="136"/>
      <c r="M4" s="136"/>
      <c r="N4" s="136"/>
      <c r="O4" s="136"/>
    </row>
    <row r="5" spans="1:15" s="63" customFormat="1" ht="20" customHeight="1" x14ac:dyDescent="0.45">
      <c r="A5" s="137" t="s">
        <v>22</v>
      </c>
      <c r="B5" s="157" t="s">
        <v>35</v>
      </c>
      <c r="C5" s="157" t="s">
        <v>36</v>
      </c>
      <c r="D5" s="157" t="s">
        <v>7</v>
      </c>
      <c r="E5" s="157" t="s">
        <v>37</v>
      </c>
      <c r="F5" s="157" t="s">
        <v>38</v>
      </c>
      <c r="G5" s="199" t="s">
        <v>403</v>
      </c>
      <c r="K5" s="123"/>
      <c r="L5" s="123"/>
      <c r="M5" s="123"/>
      <c r="N5" s="123"/>
      <c r="O5" s="123"/>
    </row>
    <row r="6" spans="1:15" s="3" customFormat="1" ht="14.55" customHeight="1" x14ac:dyDescent="0.45">
      <c r="A6" s="129" t="s">
        <v>0</v>
      </c>
      <c r="B6" s="167">
        <v>2175315</v>
      </c>
      <c r="C6" s="167">
        <v>2173790</v>
      </c>
      <c r="D6" s="167">
        <v>2128956</v>
      </c>
      <c r="E6" s="167">
        <v>1557457</v>
      </c>
      <c r="F6" s="167">
        <v>1882918</v>
      </c>
      <c r="K6"/>
      <c r="L6"/>
      <c r="M6"/>
      <c r="N6"/>
      <c r="O6"/>
    </row>
    <row r="7" spans="1:15" s="3" customFormat="1" ht="14.55" customHeight="1" x14ac:dyDescent="0.45">
      <c r="A7" s="129" t="s">
        <v>18</v>
      </c>
      <c r="B7" s="167">
        <v>19574</v>
      </c>
      <c r="C7" s="167">
        <v>33422</v>
      </c>
      <c r="D7" s="167">
        <v>28101</v>
      </c>
      <c r="E7" s="167">
        <v>10403</v>
      </c>
      <c r="F7" s="167">
        <v>9600</v>
      </c>
      <c r="K7"/>
      <c r="L7"/>
      <c r="M7"/>
      <c r="N7"/>
      <c r="O7"/>
    </row>
    <row r="8" spans="1:15" s="3" customFormat="1" ht="14.55" customHeight="1" x14ac:dyDescent="0.45">
      <c r="A8" s="129" t="s">
        <v>117</v>
      </c>
      <c r="B8" s="167">
        <v>68720</v>
      </c>
      <c r="C8" s="167">
        <v>67851</v>
      </c>
      <c r="D8" s="167">
        <v>65822</v>
      </c>
      <c r="E8" s="167">
        <v>57574</v>
      </c>
      <c r="F8" s="167">
        <v>61834</v>
      </c>
      <c r="K8"/>
      <c r="L8"/>
      <c r="M8"/>
      <c r="N8"/>
      <c r="O8"/>
    </row>
    <row r="9" spans="1:15" s="3" customFormat="1" ht="14.55" customHeight="1" x14ac:dyDescent="0.45">
      <c r="A9" s="129" t="s">
        <v>118</v>
      </c>
      <c r="B9" s="167">
        <v>547475</v>
      </c>
      <c r="C9" s="167">
        <v>547916</v>
      </c>
      <c r="D9" s="167">
        <v>535652</v>
      </c>
      <c r="E9" s="167">
        <v>403403</v>
      </c>
      <c r="F9" s="167">
        <v>449571</v>
      </c>
      <c r="K9"/>
      <c r="L9"/>
      <c r="M9"/>
      <c r="N9"/>
      <c r="O9"/>
    </row>
    <row r="10" spans="1:15" s="28" customFormat="1" ht="14.55" customHeight="1" x14ac:dyDescent="0.45">
      <c r="A10" s="130" t="s">
        <v>2</v>
      </c>
      <c r="B10" s="167">
        <v>49505</v>
      </c>
      <c r="C10" s="167">
        <v>50103</v>
      </c>
      <c r="D10" s="167">
        <v>49283</v>
      </c>
      <c r="E10" s="167">
        <v>34433</v>
      </c>
      <c r="F10" s="167">
        <v>36895</v>
      </c>
      <c r="K10"/>
      <c r="L10"/>
      <c r="M10"/>
      <c r="N10"/>
      <c r="O10"/>
    </row>
    <row r="11" spans="1:15" s="3" customFormat="1" ht="14.55" customHeight="1" x14ac:dyDescent="0.45">
      <c r="A11" s="129" t="s">
        <v>3</v>
      </c>
      <c r="B11" s="167">
        <v>257576</v>
      </c>
      <c r="C11" s="167">
        <v>265763</v>
      </c>
      <c r="D11" s="167">
        <v>269364</v>
      </c>
      <c r="E11" s="167">
        <v>204522</v>
      </c>
      <c r="F11" s="167">
        <v>216590</v>
      </c>
      <c r="K11"/>
      <c r="L11"/>
      <c r="M11"/>
      <c r="N11"/>
      <c r="O11"/>
    </row>
    <row r="12" spans="1:15" s="28" customFormat="1" ht="14.55" customHeight="1" x14ac:dyDescent="0.45">
      <c r="A12" s="130" t="s">
        <v>4</v>
      </c>
      <c r="B12" s="167">
        <v>33366</v>
      </c>
      <c r="C12" s="167">
        <v>33843</v>
      </c>
      <c r="D12" s="167">
        <v>36305</v>
      </c>
      <c r="E12" s="167">
        <v>35054</v>
      </c>
      <c r="F12" s="167">
        <v>37883</v>
      </c>
      <c r="K12"/>
      <c r="L12"/>
      <c r="M12"/>
      <c r="N12"/>
      <c r="O12"/>
    </row>
    <row r="13" spans="1:15" s="28" customFormat="1" ht="14.55" customHeight="1" x14ac:dyDescent="0.45">
      <c r="A13" s="130" t="s">
        <v>5</v>
      </c>
      <c r="B13" s="167">
        <v>69415</v>
      </c>
      <c r="C13" s="167">
        <v>75204</v>
      </c>
      <c r="D13" s="167">
        <v>78555</v>
      </c>
      <c r="E13" s="167">
        <v>60342</v>
      </c>
      <c r="F13" s="167">
        <v>71861</v>
      </c>
      <c r="K13"/>
      <c r="L13"/>
      <c r="M13"/>
      <c r="N13"/>
      <c r="O13"/>
    </row>
    <row r="14" spans="1:15" s="3" customFormat="1" ht="14.55" customHeight="1" x14ac:dyDescent="0.45">
      <c r="A14" s="129" t="s">
        <v>6</v>
      </c>
      <c r="B14" s="167">
        <v>507296</v>
      </c>
      <c r="C14" s="167">
        <v>523734</v>
      </c>
      <c r="D14" s="167">
        <v>546279</v>
      </c>
      <c r="E14" s="167">
        <v>507706</v>
      </c>
      <c r="F14" s="167">
        <v>563735</v>
      </c>
      <c r="K14"/>
      <c r="L14"/>
      <c r="M14"/>
      <c r="N14"/>
      <c r="O14"/>
    </row>
    <row r="15" spans="1:15" x14ac:dyDescent="0.45">
      <c r="A15" s="25" t="s">
        <v>39</v>
      </c>
      <c r="B15" s="178">
        <f>SUM(B6:B14)</f>
        <v>3728242</v>
      </c>
      <c r="C15" s="178">
        <f>SUM(C6:C14)</f>
        <v>3771626</v>
      </c>
      <c r="D15" s="178">
        <f>SUM(D6:D14)</f>
        <v>3738317</v>
      </c>
      <c r="E15" s="178">
        <f>SUM(E6:E14)</f>
        <v>2870894</v>
      </c>
      <c r="F15" s="178">
        <f>SUM(F6:F14)</f>
        <v>3330887</v>
      </c>
      <c r="M15" s="32"/>
      <c r="N15" s="32"/>
    </row>
    <row r="17" spans="1:20" x14ac:dyDescent="0.45">
      <c r="A17" s="301" t="s">
        <v>158</v>
      </c>
    </row>
    <row r="18" spans="1:20" s="63" customFormat="1" ht="20" customHeight="1" x14ac:dyDescent="0.45">
      <c r="A18" s="302"/>
      <c r="B18" s="309" t="s">
        <v>113</v>
      </c>
      <c r="C18" s="309"/>
      <c r="D18" s="309"/>
      <c r="E18" s="309"/>
      <c r="F18" s="138"/>
      <c r="G18" s="282" t="s">
        <v>161</v>
      </c>
      <c r="H18" s="282"/>
      <c r="I18" s="282"/>
      <c r="J18" s="282"/>
      <c r="K18" s="282"/>
      <c r="L18" s="282"/>
      <c r="M18" s="282"/>
      <c r="N18" s="282"/>
      <c r="O18" s="282"/>
      <c r="P18" s="282"/>
      <c r="Q18" s="123"/>
      <c r="R18" s="123"/>
      <c r="S18" s="123"/>
      <c r="T18" s="123"/>
    </row>
    <row r="19" spans="1:20" x14ac:dyDescent="0.45">
      <c r="A19" s="25" t="s">
        <v>22</v>
      </c>
      <c r="B19" s="285" t="s">
        <v>157</v>
      </c>
      <c r="C19" s="286"/>
      <c r="D19" s="286"/>
      <c r="E19" s="287"/>
      <c r="F19" s="135" t="s">
        <v>38</v>
      </c>
      <c r="G19" s="48" t="s">
        <v>41</v>
      </c>
      <c r="H19" s="48" t="s">
        <v>42</v>
      </c>
      <c r="I19" s="48" t="s">
        <v>43</v>
      </c>
      <c r="J19" s="48" t="s">
        <v>44</v>
      </c>
      <c r="K19" s="48" t="s">
        <v>45</v>
      </c>
      <c r="L19" s="48" t="s">
        <v>59</v>
      </c>
      <c r="M19" s="48" t="s">
        <v>60</v>
      </c>
      <c r="N19" s="48" t="s">
        <v>70</v>
      </c>
      <c r="O19" s="48" t="s">
        <v>71</v>
      </c>
      <c r="P19" s="48" t="s">
        <v>72</v>
      </c>
      <c r="Q19"/>
      <c r="R19"/>
      <c r="S19"/>
      <c r="T19"/>
    </row>
    <row r="20" spans="1:20" s="3" customFormat="1" x14ac:dyDescent="0.45">
      <c r="A20" s="8" t="s">
        <v>0</v>
      </c>
      <c r="B20" s="288">
        <v>0.01</v>
      </c>
      <c r="C20" s="289"/>
      <c r="D20" s="289"/>
      <c r="E20" s="290"/>
      <c r="F20" s="54">
        <f>F6</f>
        <v>1882918</v>
      </c>
      <c r="G20" s="49">
        <f t="shared" ref="G20:P20" si="0">F20+(F20*$B20)</f>
        <v>1901747.18</v>
      </c>
      <c r="H20" s="24">
        <f t="shared" si="0"/>
        <v>1920764.6517999999</v>
      </c>
      <c r="I20" s="24">
        <f t="shared" si="0"/>
        <v>1939972.2983179998</v>
      </c>
      <c r="J20" s="24">
        <f t="shared" si="0"/>
        <v>1959372.0213011799</v>
      </c>
      <c r="K20" s="24">
        <f t="shared" si="0"/>
        <v>1978965.7415141917</v>
      </c>
      <c r="L20" s="24">
        <f t="shared" si="0"/>
        <v>1998755.3989293335</v>
      </c>
      <c r="M20" s="24">
        <f t="shared" si="0"/>
        <v>2018742.9529186268</v>
      </c>
      <c r="N20" s="24">
        <f t="shared" si="0"/>
        <v>2038930.3824478132</v>
      </c>
      <c r="O20" s="24">
        <f t="shared" si="0"/>
        <v>2059319.6862722912</v>
      </c>
      <c r="P20" s="24">
        <f t="shared" si="0"/>
        <v>2079912.8831350142</v>
      </c>
      <c r="Q20"/>
      <c r="R20"/>
      <c r="S20"/>
      <c r="T20"/>
    </row>
    <row r="21" spans="1:20" s="3" customFormat="1" x14ac:dyDescent="0.45">
      <c r="A21" s="8" t="s">
        <v>18</v>
      </c>
      <c r="B21" s="288">
        <v>0.01</v>
      </c>
      <c r="C21" s="289"/>
      <c r="D21" s="289"/>
      <c r="E21" s="290"/>
      <c r="F21" s="54">
        <f>F7</f>
        <v>9600</v>
      </c>
      <c r="G21" s="49">
        <f t="shared" ref="G21:P21" si="1">F21+(F21*$B21)</f>
        <v>9696</v>
      </c>
      <c r="H21" s="24">
        <f t="shared" si="1"/>
        <v>9792.9599999999991</v>
      </c>
      <c r="I21" s="24">
        <f t="shared" si="1"/>
        <v>9890.8895999999986</v>
      </c>
      <c r="J21" s="24">
        <f t="shared" si="1"/>
        <v>9989.7984959999994</v>
      </c>
      <c r="K21" s="24">
        <f t="shared" si="1"/>
        <v>10089.696480959999</v>
      </c>
      <c r="L21" s="24">
        <f t="shared" si="1"/>
        <v>10190.5934457696</v>
      </c>
      <c r="M21" s="24">
        <f t="shared" si="1"/>
        <v>10292.499380227297</v>
      </c>
      <c r="N21" s="24">
        <f t="shared" si="1"/>
        <v>10395.42437402957</v>
      </c>
      <c r="O21" s="24">
        <f t="shared" si="1"/>
        <v>10499.378617769866</v>
      </c>
      <c r="P21" s="24">
        <f t="shared" si="1"/>
        <v>10604.372403947564</v>
      </c>
      <c r="Q21"/>
      <c r="R21"/>
      <c r="S21"/>
      <c r="T21"/>
    </row>
    <row r="22" spans="1:20" s="3" customFormat="1" x14ac:dyDescent="0.45">
      <c r="A22" s="8" t="s">
        <v>53</v>
      </c>
      <c r="B22" s="288">
        <v>0.01</v>
      </c>
      <c r="C22" s="289"/>
      <c r="D22" s="289"/>
      <c r="E22" s="290"/>
      <c r="F22" s="54">
        <f>F8</f>
        <v>61834</v>
      </c>
      <c r="G22" s="49">
        <f t="shared" ref="G22:P22" si="2">F22+(F22*$B22)</f>
        <v>62452.34</v>
      </c>
      <c r="H22" s="24">
        <f t="shared" si="2"/>
        <v>63076.863399999995</v>
      </c>
      <c r="I22" s="24">
        <f t="shared" si="2"/>
        <v>63707.632033999995</v>
      </c>
      <c r="J22" s="24">
        <f t="shared" si="2"/>
        <v>64344.708354339993</v>
      </c>
      <c r="K22" s="24">
        <f t="shared" si="2"/>
        <v>64988.15543788339</v>
      </c>
      <c r="L22" s="24">
        <f t="shared" si="2"/>
        <v>65638.036992262219</v>
      </c>
      <c r="M22" s="24">
        <f t="shared" si="2"/>
        <v>66294.417362184846</v>
      </c>
      <c r="N22" s="24">
        <f t="shared" si="2"/>
        <v>66957.361535806689</v>
      </c>
      <c r="O22" s="24">
        <f t="shared" si="2"/>
        <v>67626.935151164755</v>
      </c>
      <c r="P22" s="24">
        <f t="shared" si="2"/>
        <v>68303.204502676395</v>
      </c>
      <c r="Q22"/>
      <c r="R22"/>
      <c r="S22"/>
      <c r="T22"/>
    </row>
    <row r="23" spans="1:20" s="3" customFormat="1" x14ac:dyDescent="0.45">
      <c r="A23" s="283" t="s">
        <v>66</v>
      </c>
      <c r="B23" s="288">
        <v>0.04</v>
      </c>
      <c r="C23" s="289"/>
      <c r="D23" s="289"/>
      <c r="E23" s="290"/>
      <c r="F23" s="54">
        <f>F9</f>
        <v>449571</v>
      </c>
      <c r="G23" s="49">
        <f t="shared" ref="G23:P23" si="3">F23+(F23*$B23)</f>
        <v>467553.84</v>
      </c>
      <c r="H23" s="24">
        <f t="shared" si="3"/>
        <v>486255.99360000005</v>
      </c>
      <c r="I23" s="24">
        <f t="shared" si="3"/>
        <v>505706.23334400007</v>
      </c>
      <c r="J23" s="24">
        <f t="shared" si="3"/>
        <v>525934.48267776007</v>
      </c>
      <c r="K23" s="24">
        <f t="shared" si="3"/>
        <v>546971.86198487051</v>
      </c>
      <c r="L23" s="24">
        <f t="shared" si="3"/>
        <v>568850.73646426538</v>
      </c>
      <c r="M23" s="24">
        <f t="shared" si="3"/>
        <v>591604.76592283603</v>
      </c>
      <c r="N23" s="24">
        <f t="shared" si="3"/>
        <v>615268.95655974944</v>
      </c>
      <c r="O23" s="24">
        <f t="shared" si="3"/>
        <v>639879.71482213936</v>
      </c>
      <c r="P23" s="24">
        <f t="shared" si="3"/>
        <v>665474.90341502498</v>
      </c>
      <c r="Q23"/>
      <c r="R23"/>
      <c r="S23"/>
      <c r="T23"/>
    </row>
    <row r="24" spans="1:20" s="3" customFormat="1" x14ac:dyDescent="0.45">
      <c r="A24" s="284"/>
      <c r="B24" s="288">
        <v>0.06</v>
      </c>
      <c r="C24" s="289"/>
      <c r="D24" s="289"/>
      <c r="E24" s="290"/>
      <c r="F24" s="54">
        <f>F9</f>
        <v>449571</v>
      </c>
      <c r="G24" s="49">
        <f t="shared" ref="G24:P24" si="4">F24+(F24*$B24)</f>
        <v>476545.26</v>
      </c>
      <c r="H24" s="24">
        <f t="shared" si="4"/>
        <v>505137.97560000001</v>
      </c>
      <c r="I24" s="24">
        <f t="shared" si="4"/>
        <v>535446.25413600006</v>
      </c>
      <c r="J24" s="24">
        <f t="shared" si="4"/>
        <v>567573.02938416007</v>
      </c>
      <c r="K24" s="24">
        <f t="shared" si="4"/>
        <v>601627.4111472097</v>
      </c>
      <c r="L24" s="24">
        <f t="shared" si="4"/>
        <v>637725.05581604224</v>
      </c>
      <c r="M24" s="24">
        <f t="shared" si="4"/>
        <v>675988.55916500476</v>
      </c>
      <c r="N24" s="24">
        <f t="shared" si="4"/>
        <v>716547.87271490507</v>
      </c>
      <c r="O24" s="24">
        <f t="shared" si="4"/>
        <v>759540.74507779942</v>
      </c>
      <c r="P24" s="24">
        <f t="shared" si="4"/>
        <v>805113.18978246744</v>
      </c>
      <c r="Q24"/>
      <c r="R24"/>
      <c r="S24"/>
      <c r="T24"/>
    </row>
    <row r="25" spans="1:20" s="28" customFormat="1" x14ac:dyDescent="0.45">
      <c r="A25" s="9" t="s">
        <v>2</v>
      </c>
      <c r="B25" s="288">
        <v>0.06</v>
      </c>
      <c r="C25" s="289"/>
      <c r="D25" s="289"/>
      <c r="E25" s="290"/>
      <c r="F25" s="54">
        <f>F10</f>
        <v>36895</v>
      </c>
      <c r="G25" s="49">
        <f t="shared" ref="G25:P25" si="5">F25+(F25*$B25)</f>
        <v>39108.699999999997</v>
      </c>
      <c r="H25" s="24">
        <f t="shared" si="5"/>
        <v>41455.221999999994</v>
      </c>
      <c r="I25" s="24">
        <f t="shared" si="5"/>
        <v>43942.535319999995</v>
      </c>
      <c r="J25" s="24">
        <f t="shared" si="5"/>
        <v>46579.087439199997</v>
      </c>
      <c r="K25" s="24">
        <f t="shared" si="5"/>
        <v>49373.832685551999</v>
      </c>
      <c r="L25" s="24">
        <f t="shared" si="5"/>
        <v>52336.262646685122</v>
      </c>
      <c r="M25" s="24">
        <f t="shared" si="5"/>
        <v>55476.438405486231</v>
      </c>
      <c r="N25" s="24">
        <f t="shared" si="5"/>
        <v>58805.024709815407</v>
      </c>
      <c r="O25" s="24">
        <f t="shared" si="5"/>
        <v>62333.326192404333</v>
      </c>
      <c r="P25" s="24">
        <f t="shared" si="5"/>
        <v>66073.325763948596</v>
      </c>
      <c r="Q25"/>
      <c r="R25"/>
      <c r="S25"/>
      <c r="T25"/>
    </row>
    <row r="26" spans="1:20" s="3" customFormat="1" x14ac:dyDescent="0.45">
      <c r="A26" s="283" t="s">
        <v>67</v>
      </c>
      <c r="B26" s="288">
        <v>7.0000000000000007E-2</v>
      </c>
      <c r="C26" s="289"/>
      <c r="D26" s="289"/>
      <c r="E26" s="290"/>
      <c r="F26" s="54">
        <f>F11</f>
        <v>216590</v>
      </c>
      <c r="G26" s="49">
        <f t="shared" ref="G26:P26" si="6">F26+(F26*$B26)</f>
        <v>231751.3</v>
      </c>
      <c r="H26" s="24">
        <f t="shared" si="6"/>
        <v>247973.891</v>
      </c>
      <c r="I26" s="24">
        <f t="shared" si="6"/>
        <v>265332.06336999999</v>
      </c>
      <c r="J26" s="24">
        <f t="shared" si="6"/>
        <v>283905.3078059</v>
      </c>
      <c r="K26" s="24">
        <f t="shared" si="6"/>
        <v>303778.67935231299</v>
      </c>
      <c r="L26" s="24">
        <f t="shared" si="6"/>
        <v>325043.18690697488</v>
      </c>
      <c r="M26" s="24">
        <f t="shared" si="6"/>
        <v>347796.2099904631</v>
      </c>
      <c r="N26" s="24">
        <f t="shared" si="6"/>
        <v>372141.94468979555</v>
      </c>
      <c r="O26" s="24">
        <f t="shared" si="6"/>
        <v>398191.88081808126</v>
      </c>
      <c r="P26" s="24">
        <f t="shared" si="6"/>
        <v>426065.31247534696</v>
      </c>
      <c r="Q26"/>
      <c r="R26"/>
      <c r="S26"/>
      <c r="T26"/>
    </row>
    <row r="27" spans="1:20" s="3" customFormat="1" x14ac:dyDescent="0.45">
      <c r="A27" s="284"/>
      <c r="B27" s="288">
        <v>0.11</v>
      </c>
      <c r="C27" s="289"/>
      <c r="D27" s="289"/>
      <c r="E27" s="290"/>
      <c r="F27" s="54">
        <f>F11</f>
        <v>216590</v>
      </c>
      <c r="G27" s="49">
        <f t="shared" ref="G27:P27" si="7">F27+(F27*$B27)</f>
        <v>240414.9</v>
      </c>
      <c r="H27" s="24">
        <f t="shared" si="7"/>
        <v>266860.53899999999</v>
      </c>
      <c r="I27" s="24">
        <f t="shared" si="7"/>
        <v>296215.19828999997</v>
      </c>
      <c r="J27" s="24">
        <f t="shared" si="7"/>
        <v>328798.87010189996</v>
      </c>
      <c r="K27" s="24">
        <f t="shared" si="7"/>
        <v>364966.74581310898</v>
      </c>
      <c r="L27" s="24">
        <f t="shared" si="7"/>
        <v>405113.08785255096</v>
      </c>
      <c r="M27" s="24">
        <f t="shared" si="7"/>
        <v>449675.52751633158</v>
      </c>
      <c r="N27" s="24">
        <f t="shared" si="7"/>
        <v>499139.83554312808</v>
      </c>
      <c r="O27" s="24">
        <f t="shared" si="7"/>
        <v>554045.2174528722</v>
      </c>
      <c r="P27" s="24">
        <f t="shared" si="7"/>
        <v>614990.19137268816</v>
      </c>
      <c r="Q27"/>
      <c r="R27"/>
      <c r="S27"/>
      <c r="T27"/>
    </row>
    <row r="28" spans="1:20" s="28" customFormat="1" x14ac:dyDescent="0.45">
      <c r="A28" s="9" t="s">
        <v>4</v>
      </c>
      <c r="B28" s="288">
        <v>0.06</v>
      </c>
      <c r="C28" s="289"/>
      <c r="D28" s="289"/>
      <c r="E28" s="290"/>
      <c r="F28" s="55">
        <f>F12</f>
        <v>37883</v>
      </c>
      <c r="G28" s="49">
        <f t="shared" ref="G28:P28" si="8">F28+(F28*$B28)</f>
        <v>40155.980000000003</v>
      </c>
      <c r="H28" s="24">
        <f t="shared" si="8"/>
        <v>42565.338800000005</v>
      </c>
      <c r="I28" s="24">
        <f t="shared" si="8"/>
        <v>45119.259128000005</v>
      </c>
      <c r="J28" s="24">
        <f t="shared" si="8"/>
        <v>47826.414675680004</v>
      </c>
      <c r="K28" s="24">
        <f t="shared" si="8"/>
        <v>50695.999556220806</v>
      </c>
      <c r="L28" s="24">
        <f t="shared" si="8"/>
        <v>53737.759529594055</v>
      </c>
      <c r="M28" s="24">
        <f t="shared" si="8"/>
        <v>56962.025101369698</v>
      </c>
      <c r="N28" s="24">
        <f t="shared" si="8"/>
        <v>60379.746607451882</v>
      </c>
      <c r="O28" s="24">
        <f t="shared" si="8"/>
        <v>64002.531403898996</v>
      </c>
      <c r="P28" s="24">
        <f t="shared" si="8"/>
        <v>67842.683288132932</v>
      </c>
      <c r="Q28"/>
      <c r="R28"/>
      <c r="S28"/>
      <c r="T28"/>
    </row>
    <row r="29" spans="1:20" s="28" customFormat="1" x14ac:dyDescent="0.45">
      <c r="A29" s="9" t="s">
        <v>5</v>
      </c>
      <c r="B29" s="288">
        <v>0.01</v>
      </c>
      <c r="C29" s="289"/>
      <c r="D29" s="289"/>
      <c r="E29" s="290"/>
      <c r="F29" s="55">
        <f>F13</f>
        <v>71861</v>
      </c>
      <c r="G29" s="49">
        <f t="shared" ref="G29:P29" si="9">F29+(F29*$B29)</f>
        <v>72579.61</v>
      </c>
      <c r="H29" s="24">
        <f t="shared" si="9"/>
        <v>73305.406100000007</v>
      </c>
      <c r="I29" s="24">
        <f t="shared" si="9"/>
        <v>74038.46016100001</v>
      </c>
      <c r="J29" s="24">
        <f t="shared" si="9"/>
        <v>74778.84476261001</v>
      </c>
      <c r="K29" s="24">
        <f t="shared" si="9"/>
        <v>75526.633210236105</v>
      </c>
      <c r="L29" s="24">
        <f t="shared" si="9"/>
        <v>76281.899542338462</v>
      </c>
      <c r="M29" s="24">
        <f t="shared" si="9"/>
        <v>77044.718537761844</v>
      </c>
      <c r="N29" s="24">
        <f t="shared" si="9"/>
        <v>77815.165723139464</v>
      </c>
      <c r="O29" s="24">
        <f t="shared" si="9"/>
        <v>78593.317380370863</v>
      </c>
      <c r="P29" s="24">
        <f t="shared" si="9"/>
        <v>79379.250554174578</v>
      </c>
      <c r="Q29"/>
      <c r="R29"/>
      <c r="S29"/>
      <c r="T29"/>
    </row>
    <row r="30" spans="1:20" s="3" customFormat="1" x14ac:dyDescent="0.45">
      <c r="A30" s="283" t="s">
        <v>68</v>
      </c>
      <c r="B30" s="288">
        <v>7.0000000000000007E-2</v>
      </c>
      <c r="C30" s="289"/>
      <c r="D30" s="289"/>
      <c r="E30" s="290"/>
      <c r="F30" s="54">
        <f>F14</f>
        <v>563735</v>
      </c>
      <c r="G30" s="49">
        <f t="shared" ref="G30:P30" si="10">F30+(F30*$B30)</f>
        <v>603196.44999999995</v>
      </c>
      <c r="H30" s="24">
        <f t="shared" si="10"/>
        <v>645420.20149999997</v>
      </c>
      <c r="I30" s="24">
        <f t="shared" si="10"/>
        <v>690599.61560499994</v>
      </c>
      <c r="J30" s="24">
        <f t="shared" si="10"/>
        <v>738941.58869734989</v>
      </c>
      <c r="K30" s="24">
        <f t="shared" si="10"/>
        <v>790667.49990616436</v>
      </c>
      <c r="L30" s="24">
        <f t="shared" si="10"/>
        <v>846014.22489959584</v>
      </c>
      <c r="M30" s="24">
        <f t="shared" si="10"/>
        <v>905235.2206425675</v>
      </c>
      <c r="N30" s="24">
        <f t="shared" si="10"/>
        <v>968601.68608754722</v>
      </c>
      <c r="O30" s="24">
        <f t="shared" si="10"/>
        <v>1036403.8041136755</v>
      </c>
      <c r="P30" s="24">
        <f t="shared" si="10"/>
        <v>1108952.0704016327</v>
      </c>
      <c r="Q30"/>
      <c r="R30"/>
      <c r="S30"/>
      <c r="T30"/>
    </row>
    <row r="31" spans="1:20" s="3" customFormat="1" x14ac:dyDescent="0.45">
      <c r="A31" s="284"/>
      <c r="B31" s="288">
        <v>0.09</v>
      </c>
      <c r="C31" s="289"/>
      <c r="D31" s="289"/>
      <c r="E31" s="290"/>
      <c r="F31" s="54">
        <f>F14</f>
        <v>563735</v>
      </c>
      <c r="G31" s="49">
        <f t="shared" ref="G31:P31" si="11">F31+(F31*$B31)</f>
        <v>614471.15</v>
      </c>
      <c r="H31" s="24">
        <f t="shared" si="11"/>
        <v>669773.55350000004</v>
      </c>
      <c r="I31" s="24">
        <f t="shared" si="11"/>
        <v>730053.17331500002</v>
      </c>
      <c r="J31" s="24">
        <f t="shared" si="11"/>
        <v>795757.95891335001</v>
      </c>
      <c r="K31" s="24">
        <f t="shared" si="11"/>
        <v>867376.17521555151</v>
      </c>
      <c r="L31" s="24">
        <f t="shared" si="11"/>
        <v>945440.03098495118</v>
      </c>
      <c r="M31" s="24">
        <f t="shared" si="11"/>
        <v>1030529.6337735967</v>
      </c>
      <c r="N31" s="24">
        <f t="shared" si="11"/>
        <v>1123277.3008132204</v>
      </c>
      <c r="O31" s="24">
        <f t="shared" si="11"/>
        <v>1224372.2578864102</v>
      </c>
      <c r="P31" s="24">
        <f t="shared" si="11"/>
        <v>1334565.7610961872</v>
      </c>
      <c r="Q31"/>
      <c r="R31"/>
      <c r="S31"/>
      <c r="T31"/>
    </row>
    <row r="32" spans="1:20" x14ac:dyDescent="0.45">
      <c r="A32" s="307" t="s">
        <v>39</v>
      </c>
      <c r="B32" s="303" t="s">
        <v>115</v>
      </c>
      <c r="C32" s="304"/>
      <c r="D32" s="304"/>
      <c r="E32" s="305"/>
      <c r="F32" s="56">
        <f>SUM(F20:F23,F25:F26,F28:F30)</f>
        <v>3330887</v>
      </c>
      <c r="G32" s="58">
        <f t="shared" ref="G32:P32" si="12">SUM(G20:G23,G25:G26,G28:G30)</f>
        <v>3428241.3999999994</v>
      </c>
      <c r="H32" s="26">
        <f t="shared" si="12"/>
        <v>3530610.5281999996</v>
      </c>
      <c r="I32" s="26">
        <f t="shared" si="12"/>
        <v>3638308.9868799997</v>
      </c>
      <c r="J32" s="26">
        <f t="shared" si="12"/>
        <v>3751672.2542100195</v>
      </c>
      <c r="K32" s="26">
        <f t="shared" si="12"/>
        <v>3871058.1001283918</v>
      </c>
      <c r="L32" s="26">
        <f t="shared" si="12"/>
        <v>3996848.0993568189</v>
      </c>
      <c r="M32" s="26">
        <f t="shared" si="12"/>
        <v>4129449.2482615239</v>
      </c>
      <c r="N32" s="26">
        <f t="shared" si="12"/>
        <v>4269295.6927351477</v>
      </c>
      <c r="O32" s="26">
        <f t="shared" si="12"/>
        <v>4416850.5747717964</v>
      </c>
      <c r="P32" s="26">
        <f t="shared" si="12"/>
        <v>4572608.005939899</v>
      </c>
    </row>
    <row r="33" spans="1:20" x14ac:dyDescent="0.45">
      <c r="A33" s="308"/>
      <c r="B33" s="303" t="s">
        <v>114</v>
      </c>
      <c r="C33" s="304"/>
      <c r="D33" s="304"/>
      <c r="E33" s="305"/>
      <c r="F33" s="56">
        <f>SUM(F20:F22,F24:F25,F27:F29,F31)</f>
        <v>3330887</v>
      </c>
      <c r="G33" s="58">
        <f t="shared" ref="G33:P33" si="13">SUM(G20:G22,G24:G25,G27:G29,G31)</f>
        <v>3457171.12</v>
      </c>
      <c r="H33" s="26">
        <f t="shared" si="13"/>
        <v>3592732.5101999994</v>
      </c>
      <c r="I33" s="26">
        <f t="shared" si="13"/>
        <v>3738385.7003019992</v>
      </c>
      <c r="J33" s="26">
        <f t="shared" si="13"/>
        <v>3895020.7334284196</v>
      </c>
      <c r="K33" s="26">
        <f t="shared" si="13"/>
        <v>4063610.3910609144</v>
      </c>
      <c r="L33" s="26">
        <f t="shared" si="13"/>
        <v>4245218.1257395279</v>
      </c>
      <c r="M33" s="26">
        <f t="shared" si="13"/>
        <v>4441006.7721605897</v>
      </c>
      <c r="N33" s="26">
        <f t="shared" si="13"/>
        <v>4652248.1144693103</v>
      </c>
      <c r="O33" s="26">
        <f t="shared" si="13"/>
        <v>4880333.3954349821</v>
      </c>
      <c r="P33" s="26">
        <f t="shared" si="13"/>
        <v>5126784.8618992381</v>
      </c>
    </row>
    <row r="34" spans="1:20" x14ac:dyDescent="0.45">
      <c r="A34" s="3"/>
      <c r="B34" s="3"/>
      <c r="C34" s="3"/>
      <c r="D34" s="3"/>
      <c r="M34" s="32"/>
      <c r="N34" s="32"/>
    </row>
    <row r="35" spans="1:20" x14ac:dyDescent="0.45">
      <c r="A35" s="301" t="s">
        <v>159</v>
      </c>
      <c r="B35" s="3"/>
      <c r="C35" s="3"/>
      <c r="D35" s="3"/>
      <c r="M35" s="32"/>
      <c r="N35" s="32"/>
    </row>
    <row r="36" spans="1:20" s="63" customFormat="1" ht="20" customHeight="1" x14ac:dyDescent="0.45">
      <c r="A36" s="302"/>
      <c r="B36" s="310" t="s">
        <v>168</v>
      </c>
      <c r="C36" s="311"/>
      <c r="D36" s="145" t="s">
        <v>40</v>
      </c>
      <c r="E36" s="294" t="s">
        <v>57</v>
      </c>
      <c r="F36" s="295"/>
      <c r="G36" s="280" t="s">
        <v>162</v>
      </c>
      <c r="H36" s="281"/>
      <c r="I36" s="281"/>
      <c r="J36" s="281"/>
      <c r="K36" s="281"/>
      <c r="L36" s="281"/>
      <c r="M36" s="281"/>
      <c r="N36" s="281"/>
      <c r="O36" s="281"/>
      <c r="P36" s="281"/>
      <c r="Q36" s="123"/>
      <c r="R36" s="123"/>
      <c r="S36" s="123"/>
      <c r="T36" s="123"/>
    </row>
    <row r="37" spans="1:20" x14ac:dyDescent="0.45">
      <c r="A37" s="128" t="s">
        <v>22</v>
      </c>
      <c r="B37" s="285" t="s">
        <v>157</v>
      </c>
      <c r="C37" s="296"/>
      <c r="D37" s="131" t="s">
        <v>7</v>
      </c>
      <c r="E37" s="132" t="s">
        <v>37</v>
      </c>
      <c r="F37" s="133" t="s">
        <v>38</v>
      </c>
      <c r="G37" s="134" t="s">
        <v>41</v>
      </c>
      <c r="H37" s="48" t="s">
        <v>42</v>
      </c>
      <c r="I37" s="48" t="s">
        <v>43</v>
      </c>
      <c r="J37" s="48" t="s">
        <v>44</v>
      </c>
      <c r="K37" s="48" t="s">
        <v>45</v>
      </c>
      <c r="L37" s="48" t="s">
        <v>59</v>
      </c>
      <c r="M37" s="48" t="s">
        <v>60</v>
      </c>
      <c r="N37" s="48" t="s">
        <v>70</v>
      </c>
      <c r="O37" s="48" t="s">
        <v>71</v>
      </c>
      <c r="P37" s="48" t="s">
        <v>72</v>
      </c>
      <c r="Q37"/>
      <c r="R37"/>
      <c r="S37"/>
      <c r="T37"/>
    </row>
    <row r="38" spans="1:20" s="3" customFormat="1" ht="14.55" customHeight="1" x14ac:dyDescent="0.45">
      <c r="A38" s="129" t="s">
        <v>0</v>
      </c>
      <c r="B38" s="297">
        <f>B20</f>
        <v>0.01</v>
      </c>
      <c r="C38" s="298"/>
      <c r="D38" s="51">
        <f>F55</f>
        <v>2184450.6666666665</v>
      </c>
      <c r="E38" s="57">
        <f t="shared" ref="E38:E47" si="14">D38+(D38*$B38)</f>
        <v>2206295.1733333333</v>
      </c>
      <c r="F38" s="50">
        <f t="shared" ref="F38:K38" si="15">E38+(E38*$B38)</f>
        <v>2228358.1250666669</v>
      </c>
      <c r="G38" s="49">
        <f t="shared" si="15"/>
        <v>2250641.7063173335</v>
      </c>
      <c r="H38" s="24">
        <f t="shared" si="15"/>
        <v>2273148.1233805069</v>
      </c>
      <c r="I38" s="24">
        <f t="shared" si="15"/>
        <v>2295879.6046143118</v>
      </c>
      <c r="J38" s="24">
        <f t="shared" si="15"/>
        <v>2318838.4006604548</v>
      </c>
      <c r="K38" s="24">
        <f t="shared" si="15"/>
        <v>2342026.7846670593</v>
      </c>
      <c r="L38" s="24">
        <f t="shared" ref="L38:L49" si="16">K38+(K38*$B38)</f>
        <v>2365447.0525137298</v>
      </c>
      <c r="M38" s="24">
        <f t="shared" ref="M38:M49" si="17">L38+(L38*$B38)</f>
        <v>2389101.5230388669</v>
      </c>
      <c r="N38" s="24">
        <f t="shared" ref="N38:N49" si="18">M38+(M38*$B38)</f>
        <v>2412992.5382692558</v>
      </c>
      <c r="O38" s="24">
        <f t="shared" ref="O38:O49" si="19">N38+(N38*$B38)</f>
        <v>2437122.4636519481</v>
      </c>
      <c r="P38" s="24">
        <f t="shared" ref="P38:P49" si="20">O38+(O38*$B38)</f>
        <v>2461493.6882884675</v>
      </c>
      <c r="Q38"/>
      <c r="R38"/>
      <c r="S38"/>
      <c r="T38"/>
    </row>
    <row r="39" spans="1:20" s="3" customFormat="1" ht="14.55" customHeight="1" x14ac:dyDescent="0.45">
      <c r="A39" s="129" t="s">
        <v>18</v>
      </c>
      <c r="B39" s="297">
        <f t="shared" ref="B39:B49" si="21">B21</f>
        <v>0.01</v>
      </c>
      <c r="C39" s="298"/>
      <c r="D39" s="51">
        <f>F56</f>
        <v>29610.666666666664</v>
      </c>
      <c r="E39" s="57">
        <f t="shared" si="14"/>
        <v>29906.773333333331</v>
      </c>
      <c r="F39" s="50">
        <f t="shared" ref="F39" si="22">E39+(E39*$B39)</f>
        <v>30205.841066666664</v>
      </c>
      <c r="G39" s="49">
        <f t="shared" ref="G39" si="23">F39+(F39*$B39)</f>
        <v>30507.899477333332</v>
      </c>
      <c r="H39" s="24">
        <f t="shared" ref="H39" si="24">G39+(G39*$B39)</f>
        <v>30812.978472106664</v>
      </c>
      <c r="I39" s="24">
        <f t="shared" ref="I39" si="25">H39+(H39*$B39)</f>
        <v>31121.108256827731</v>
      </c>
      <c r="J39" s="24">
        <f t="shared" ref="J39" si="26">I39+(I39*$B39)</f>
        <v>31432.319339396006</v>
      </c>
      <c r="K39" s="24">
        <f t="shared" ref="K39" si="27">J39+(J39*$B39)</f>
        <v>31746.642532789967</v>
      </c>
      <c r="L39" s="24">
        <f t="shared" si="16"/>
        <v>32064.108958117868</v>
      </c>
      <c r="M39" s="24">
        <f t="shared" si="17"/>
        <v>32384.750047699046</v>
      </c>
      <c r="N39" s="24">
        <f t="shared" si="18"/>
        <v>32708.597548176036</v>
      </c>
      <c r="O39" s="24">
        <f t="shared" si="19"/>
        <v>33035.683523657797</v>
      </c>
      <c r="P39" s="24">
        <f t="shared" si="20"/>
        <v>33366.040358894374</v>
      </c>
      <c r="Q39"/>
      <c r="R39"/>
      <c r="S39"/>
      <c r="T39"/>
    </row>
    <row r="40" spans="1:20" s="3" customFormat="1" ht="14.55" customHeight="1" x14ac:dyDescent="0.45">
      <c r="A40" s="129" t="s">
        <v>53</v>
      </c>
      <c r="B40" s="297">
        <f t="shared" si="21"/>
        <v>0.01</v>
      </c>
      <c r="C40" s="298"/>
      <c r="D40" s="51">
        <f>F57</f>
        <v>66686.666666666657</v>
      </c>
      <c r="E40" s="57">
        <f t="shared" si="14"/>
        <v>67353.533333333326</v>
      </c>
      <c r="F40" s="50">
        <f t="shared" ref="F40" si="28">E40+(E40*$B40)</f>
        <v>68027.068666666659</v>
      </c>
      <c r="G40" s="49">
        <f t="shared" ref="G40" si="29">F40+(F40*$B40)</f>
        <v>68707.339353333329</v>
      </c>
      <c r="H40" s="24">
        <f t="shared" ref="H40" si="30">G40+(G40*$B40)</f>
        <v>69394.412746866656</v>
      </c>
      <c r="I40" s="24">
        <f t="shared" ref="I40" si="31">H40+(H40*$B40)</f>
        <v>70088.356874335324</v>
      </c>
      <c r="J40" s="24">
        <f t="shared" ref="J40" si="32">I40+(I40*$B40)</f>
        <v>70789.240443078685</v>
      </c>
      <c r="K40" s="24">
        <f t="shared" ref="K40" si="33">J40+(J40*$B40)</f>
        <v>71497.132847509478</v>
      </c>
      <c r="L40" s="24">
        <f t="shared" si="16"/>
        <v>72212.104175984568</v>
      </c>
      <c r="M40" s="24">
        <f t="shared" si="17"/>
        <v>72934.225217744417</v>
      </c>
      <c r="N40" s="24">
        <f t="shared" si="18"/>
        <v>73663.567469921865</v>
      </c>
      <c r="O40" s="24">
        <f t="shared" si="19"/>
        <v>74400.203144621089</v>
      </c>
      <c r="P40" s="24">
        <f t="shared" si="20"/>
        <v>75144.205176067306</v>
      </c>
      <c r="Q40"/>
      <c r="R40"/>
      <c r="S40"/>
      <c r="T40"/>
    </row>
    <row r="41" spans="1:20" s="3" customFormat="1" ht="14.55" customHeight="1" x14ac:dyDescent="0.45">
      <c r="A41" s="291" t="s">
        <v>66</v>
      </c>
      <c r="B41" s="297">
        <f t="shared" si="21"/>
        <v>0.04</v>
      </c>
      <c r="C41" s="298"/>
      <c r="D41" s="51">
        <f>F58</f>
        <v>547660</v>
      </c>
      <c r="E41" s="57">
        <f t="shared" si="14"/>
        <v>569566.4</v>
      </c>
      <c r="F41" s="50">
        <f t="shared" ref="F41:K47" si="34">E41+(E41*$B41)</f>
        <v>592349.05599999998</v>
      </c>
      <c r="G41" s="49">
        <f t="shared" si="34"/>
        <v>616043.01824</v>
      </c>
      <c r="H41" s="24">
        <f t="shared" si="34"/>
        <v>640684.73896960006</v>
      </c>
      <c r="I41" s="24">
        <f t="shared" si="34"/>
        <v>666312.12852838403</v>
      </c>
      <c r="J41" s="24">
        <f t="shared" si="34"/>
        <v>692964.61366951943</v>
      </c>
      <c r="K41" s="24">
        <f t="shared" si="34"/>
        <v>720683.19821630022</v>
      </c>
      <c r="L41" s="24">
        <f t="shared" si="16"/>
        <v>749510.52614495228</v>
      </c>
      <c r="M41" s="24">
        <f t="shared" si="17"/>
        <v>779490.94719075039</v>
      </c>
      <c r="N41" s="24">
        <f t="shared" si="18"/>
        <v>810670.58507838042</v>
      </c>
      <c r="O41" s="24">
        <f t="shared" si="19"/>
        <v>843097.40848151559</v>
      </c>
      <c r="P41" s="24">
        <f t="shared" si="20"/>
        <v>876821.30482077622</v>
      </c>
      <c r="Q41"/>
      <c r="R41"/>
      <c r="S41"/>
      <c r="T41"/>
    </row>
    <row r="42" spans="1:20" s="3" customFormat="1" ht="14.55" customHeight="1" x14ac:dyDescent="0.45">
      <c r="A42" s="292"/>
      <c r="B42" s="297">
        <f t="shared" si="21"/>
        <v>0.06</v>
      </c>
      <c r="C42" s="298"/>
      <c r="D42" s="51">
        <f>F58</f>
        <v>547660</v>
      </c>
      <c r="E42" s="57">
        <f t="shared" si="14"/>
        <v>580519.6</v>
      </c>
      <c r="F42" s="50">
        <f t="shared" si="34"/>
        <v>615350.77599999995</v>
      </c>
      <c r="G42" s="49">
        <f t="shared" si="34"/>
        <v>652271.82256</v>
      </c>
      <c r="H42" s="24">
        <f t="shared" si="34"/>
        <v>691408.13191360002</v>
      </c>
      <c r="I42" s="24">
        <f t="shared" si="34"/>
        <v>732892.61982841603</v>
      </c>
      <c r="J42" s="24">
        <f t="shared" si="34"/>
        <v>776866.177018121</v>
      </c>
      <c r="K42" s="24">
        <f t="shared" si="34"/>
        <v>823478.14763920824</v>
      </c>
      <c r="L42" s="24">
        <f t="shared" si="16"/>
        <v>872886.83649756073</v>
      </c>
      <c r="M42" s="24">
        <f t="shared" si="17"/>
        <v>925260.0466874144</v>
      </c>
      <c r="N42" s="24">
        <f t="shared" si="18"/>
        <v>980775.64948865923</v>
      </c>
      <c r="O42" s="24">
        <f t="shared" si="19"/>
        <v>1039622.1884579788</v>
      </c>
      <c r="P42" s="24">
        <f t="shared" si="20"/>
        <v>1101999.5197654576</v>
      </c>
      <c r="Q42"/>
      <c r="R42"/>
      <c r="S42"/>
      <c r="T42"/>
    </row>
    <row r="43" spans="1:20" s="28" customFormat="1" ht="14.55" customHeight="1" x14ac:dyDescent="0.45">
      <c r="A43" s="130" t="s">
        <v>2</v>
      </c>
      <c r="B43" s="297">
        <f t="shared" si="21"/>
        <v>0.06</v>
      </c>
      <c r="C43" s="298"/>
      <c r="D43" s="51">
        <f>F59</f>
        <v>50081.333333333328</v>
      </c>
      <c r="E43" s="57">
        <f t="shared" si="14"/>
        <v>53086.213333333326</v>
      </c>
      <c r="F43" s="50">
        <f t="shared" si="34"/>
        <v>56271.386133333326</v>
      </c>
      <c r="G43" s="49">
        <f t="shared" si="34"/>
        <v>59647.669301333328</v>
      </c>
      <c r="H43" s="24">
        <f t="shared" si="34"/>
        <v>63226.52945941333</v>
      </c>
      <c r="I43" s="24">
        <f t="shared" si="34"/>
        <v>67020.121226978124</v>
      </c>
      <c r="J43" s="24">
        <f t="shared" si="34"/>
        <v>71041.328500596806</v>
      </c>
      <c r="K43" s="24">
        <f t="shared" si="34"/>
        <v>75303.808210632618</v>
      </c>
      <c r="L43" s="24">
        <f t="shared" si="16"/>
        <v>79822.036703270569</v>
      </c>
      <c r="M43" s="24">
        <f t="shared" si="17"/>
        <v>84611.358905466797</v>
      </c>
      <c r="N43" s="24">
        <f t="shared" si="18"/>
        <v>89688.0404397948</v>
      </c>
      <c r="O43" s="24">
        <f t="shared" si="19"/>
        <v>95069.322866182483</v>
      </c>
      <c r="P43" s="24">
        <f t="shared" si="20"/>
        <v>100773.48223815343</v>
      </c>
      <c r="Q43"/>
      <c r="R43"/>
      <c r="S43"/>
      <c r="T43"/>
    </row>
    <row r="44" spans="1:20" s="3" customFormat="1" ht="14.55" customHeight="1" x14ac:dyDescent="0.45">
      <c r="A44" s="291" t="s">
        <v>67</v>
      </c>
      <c r="B44" s="297">
        <f t="shared" si="21"/>
        <v>7.0000000000000007E-2</v>
      </c>
      <c r="C44" s="298"/>
      <c r="D44" s="51">
        <f>F60</f>
        <v>272449.33333333331</v>
      </c>
      <c r="E44" s="57">
        <f t="shared" si="14"/>
        <v>291520.78666666662</v>
      </c>
      <c r="F44" s="50">
        <f t="shared" si="34"/>
        <v>311927.24173333327</v>
      </c>
      <c r="G44" s="49">
        <f t="shared" si="34"/>
        <v>333762.14865466661</v>
      </c>
      <c r="H44" s="24">
        <f t="shared" si="34"/>
        <v>357125.49906049325</v>
      </c>
      <c r="I44" s="24">
        <f t="shared" si="34"/>
        <v>382124.28399472777</v>
      </c>
      <c r="J44" s="24">
        <f t="shared" si="34"/>
        <v>408872.9838743587</v>
      </c>
      <c r="K44" s="24">
        <f t="shared" si="34"/>
        <v>437494.09274556383</v>
      </c>
      <c r="L44" s="24">
        <f t="shared" si="16"/>
        <v>468118.67923775333</v>
      </c>
      <c r="M44" s="24">
        <f t="shared" si="17"/>
        <v>500886.98678439605</v>
      </c>
      <c r="N44" s="24">
        <f t="shared" si="18"/>
        <v>535949.07585930382</v>
      </c>
      <c r="O44" s="24">
        <f t="shared" si="19"/>
        <v>573465.51116945513</v>
      </c>
      <c r="P44" s="24">
        <f t="shared" si="20"/>
        <v>613608.09695131704</v>
      </c>
      <c r="Q44"/>
      <c r="R44"/>
      <c r="S44"/>
      <c r="T44"/>
    </row>
    <row r="45" spans="1:20" s="3" customFormat="1" ht="14.55" customHeight="1" x14ac:dyDescent="0.45">
      <c r="A45" s="292"/>
      <c r="B45" s="297">
        <f t="shared" si="21"/>
        <v>0.11</v>
      </c>
      <c r="C45" s="298"/>
      <c r="D45" s="51">
        <f>F60</f>
        <v>272449.33333333331</v>
      </c>
      <c r="E45" s="57">
        <f t="shared" si="14"/>
        <v>302418.76</v>
      </c>
      <c r="F45" s="50">
        <f t="shared" si="34"/>
        <v>335684.8236</v>
      </c>
      <c r="G45" s="49">
        <f t="shared" si="34"/>
        <v>372610.15419600002</v>
      </c>
      <c r="H45" s="24">
        <f t="shared" si="34"/>
        <v>413597.27115756</v>
      </c>
      <c r="I45" s="24">
        <f t="shared" si="34"/>
        <v>459092.97098489158</v>
      </c>
      <c r="J45" s="24">
        <f t="shared" si="34"/>
        <v>509593.19779322966</v>
      </c>
      <c r="K45" s="24">
        <f t="shared" si="34"/>
        <v>565648.44955048489</v>
      </c>
      <c r="L45" s="24">
        <f t="shared" si="16"/>
        <v>627869.77900103829</v>
      </c>
      <c r="M45" s="24">
        <f t="shared" si="17"/>
        <v>696935.45469115255</v>
      </c>
      <c r="N45" s="24">
        <f t="shared" si="18"/>
        <v>773598.35470717936</v>
      </c>
      <c r="O45" s="24">
        <f t="shared" si="19"/>
        <v>858694.17372496915</v>
      </c>
      <c r="P45" s="24">
        <f t="shared" si="20"/>
        <v>953150.53283471579</v>
      </c>
      <c r="Q45"/>
      <c r="R45"/>
      <c r="S45"/>
      <c r="T45"/>
    </row>
    <row r="46" spans="1:20" s="28" customFormat="1" ht="14.55" customHeight="1" x14ac:dyDescent="0.45">
      <c r="A46" s="130" t="s">
        <v>4</v>
      </c>
      <c r="B46" s="297">
        <f t="shared" si="21"/>
        <v>0.06</v>
      </c>
      <c r="C46" s="298"/>
      <c r="D46" s="52">
        <f>F61</f>
        <v>36258.666666666664</v>
      </c>
      <c r="E46" s="57">
        <f t="shared" si="14"/>
        <v>38434.186666666661</v>
      </c>
      <c r="F46" s="50">
        <f t="shared" si="34"/>
        <v>40740.237866666663</v>
      </c>
      <c r="G46" s="49">
        <f t="shared" si="34"/>
        <v>43184.652138666665</v>
      </c>
      <c r="H46" s="24">
        <f t="shared" si="34"/>
        <v>45775.731266986666</v>
      </c>
      <c r="I46" s="24">
        <f t="shared" si="34"/>
        <v>48522.275143005863</v>
      </c>
      <c r="J46" s="24">
        <f t="shared" si="34"/>
        <v>51433.611651586216</v>
      </c>
      <c r="K46" s="24">
        <f t="shared" si="34"/>
        <v>54519.628350681392</v>
      </c>
      <c r="L46" s="24">
        <f t="shared" si="16"/>
        <v>57790.806051722277</v>
      </c>
      <c r="M46" s="24">
        <f t="shared" si="17"/>
        <v>61258.254414825613</v>
      </c>
      <c r="N46" s="24">
        <f t="shared" si="18"/>
        <v>64933.749679715147</v>
      </c>
      <c r="O46" s="24">
        <f t="shared" si="19"/>
        <v>68829.774660498049</v>
      </c>
      <c r="P46" s="24">
        <f t="shared" si="20"/>
        <v>72959.561140127931</v>
      </c>
      <c r="Q46"/>
      <c r="R46"/>
      <c r="S46"/>
      <c r="T46"/>
    </row>
    <row r="47" spans="1:20" s="28" customFormat="1" ht="14.55" customHeight="1" x14ac:dyDescent="0.45">
      <c r="A47" s="130" t="s">
        <v>5</v>
      </c>
      <c r="B47" s="297">
        <f t="shared" si="21"/>
        <v>0.01</v>
      </c>
      <c r="C47" s="298"/>
      <c r="D47" s="52">
        <f>F62</f>
        <v>80950.666666666657</v>
      </c>
      <c r="E47" s="57">
        <f t="shared" si="14"/>
        <v>81760.173333333325</v>
      </c>
      <c r="F47" s="50">
        <f t="shared" si="34"/>
        <v>82577.775066666654</v>
      </c>
      <c r="G47" s="49">
        <f t="shared" si="34"/>
        <v>83403.552817333315</v>
      </c>
      <c r="H47" s="24">
        <f t="shared" si="34"/>
        <v>84237.588345506651</v>
      </c>
      <c r="I47" s="24">
        <f t="shared" si="34"/>
        <v>85079.964228961719</v>
      </c>
      <c r="J47" s="24">
        <f t="shared" si="34"/>
        <v>85930.763871251329</v>
      </c>
      <c r="K47" s="24">
        <f t="shared" si="34"/>
        <v>86790.071509963847</v>
      </c>
      <c r="L47" s="24">
        <f t="shared" si="16"/>
        <v>87657.97222506348</v>
      </c>
      <c r="M47" s="24">
        <f t="shared" si="17"/>
        <v>88534.551947314118</v>
      </c>
      <c r="N47" s="24">
        <f t="shared" si="18"/>
        <v>89419.897466787254</v>
      </c>
      <c r="O47" s="24">
        <f t="shared" si="19"/>
        <v>90314.096441455127</v>
      </c>
      <c r="P47" s="24">
        <f t="shared" si="20"/>
        <v>91217.237405869673</v>
      </c>
      <c r="Q47"/>
      <c r="R47"/>
      <c r="S47"/>
      <c r="T47"/>
    </row>
    <row r="48" spans="1:20" s="3" customFormat="1" ht="14.55" customHeight="1" x14ac:dyDescent="0.45">
      <c r="A48" s="291" t="s">
        <v>68</v>
      </c>
      <c r="B48" s="297">
        <f t="shared" si="21"/>
        <v>7.0000000000000007E-2</v>
      </c>
      <c r="C48" s="298"/>
      <c r="D48" s="51">
        <f>F63</f>
        <v>552372</v>
      </c>
      <c r="E48" s="57">
        <f t="shared" ref="E48:K49" si="35">D48+(D48*$B48)</f>
        <v>591038.04</v>
      </c>
      <c r="F48" s="50">
        <f t="shared" si="35"/>
        <v>632410.70280000009</v>
      </c>
      <c r="G48" s="49">
        <f t="shared" si="35"/>
        <v>676679.45199600013</v>
      </c>
      <c r="H48" s="24">
        <f t="shared" si="35"/>
        <v>724047.01363572013</v>
      </c>
      <c r="I48" s="24">
        <f t="shared" si="35"/>
        <v>774730.30459022056</v>
      </c>
      <c r="J48" s="24">
        <f t="shared" si="35"/>
        <v>828961.42591153597</v>
      </c>
      <c r="K48" s="24">
        <f t="shared" si="35"/>
        <v>886988.72572534345</v>
      </c>
      <c r="L48" s="24">
        <f t="shared" si="16"/>
        <v>949077.9365261175</v>
      </c>
      <c r="M48" s="24">
        <f t="shared" si="17"/>
        <v>1015513.3920829457</v>
      </c>
      <c r="N48" s="24">
        <f t="shared" si="18"/>
        <v>1086599.3295287518</v>
      </c>
      <c r="O48" s="24">
        <f t="shared" si="19"/>
        <v>1162661.2825957644</v>
      </c>
      <c r="P48" s="24">
        <f t="shared" si="20"/>
        <v>1244047.572377468</v>
      </c>
      <c r="Q48"/>
      <c r="R48"/>
      <c r="S48"/>
      <c r="T48"/>
    </row>
    <row r="49" spans="1:20" s="3" customFormat="1" ht="14.55" customHeight="1" x14ac:dyDescent="0.45">
      <c r="A49" s="292"/>
      <c r="B49" s="297">
        <f t="shared" si="21"/>
        <v>0.09</v>
      </c>
      <c r="C49" s="298"/>
      <c r="D49" s="51">
        <f>F63</f>
        <v>552372</v>
      </c>
      <c r="E49" s="57">
        <f t="shared" si="35"/>
        <v>602085.48</v>
      </c>
      <c r="F49" s="50">
        <f t="shared" si="35"/>
        <v>656273.17319999996</v>
      </c>
      <c r="G49" s="49">
        <f t="shared" si="35"/>
        <v>715337.75878799998</v>
      </c>
      <c r="H49" s="24">
        <f t="shared" si="35"/>
        <v>779718.15707891993</v>
      </c>
      <c r="I49" s="24">
        <f t="shared" si="35"/>
        <v>849892.79121602268</v>
      </c>
      <c r="J49" s="24">
        <f t="shared" si="35"/>
        <v>926383.1424254647</v>
      </c>
      <c r="K49" s="24">
        <f t="shared" si="35"/>
        <v>1009757.6252437565</v>
      </c>
      <c r="L49" s="24">
        <f t="shared" si="16"/>
        <v>1100635.8115156945</v>
      </c>
      <c r="M49" s="24">
        <f t="shared" si="17"/>
        <v>1199693.0345521071</v>
      </c>
      <c r="N49" s="24">
        <f t="shared" si="18"/>
        <v>1307665.4076617968</v>
      </c>
      <c r="O49" s="24">
        <f t="shared" si="19"/>
        <v>1425355.2943513584</v>
      </c>
      <c r="P49" s="24">
        <f t="shared" si="20"/>
        <v>1553637.2708429806</v>
      </c>
      <c r="Q49"/>
      <c r="R49"/>
      <c r="S49"/>
      <c r="T49"/>
    </row>
    <row r="50" spans="1:20" x14ac:dyDescent="0.45">
      <c r="A50" s="299" t="s">
        <v>39</v>
      </c>
      <c r="B50" s="303" t="s">
        <v>115</v>
      </c>
      <c r="C50" s="312"/>
      <c r="D50" s="53">
        <f>SUM(D38:D41,D43:D44,D46:D48)</f>
        <v>3820519.9999999995</v>
      </c>
      <c r="E50" s="58">
        <f t="shared" ref="E50:P50" si="36">SUM(E38:E41,E43:E44,E46:E48)</f>
        <v>3928961.28</v>
      </c>
      <c r="F50" s="56">
        <f t="shared" si="36"/>
        <v>4042867.4344000001</v>
      </c>
      <c r="G50" s="58">
        <f t="shared" si="36"/>
        <v>4162577.4382960005</v>
      </c>
      <c r="H50" s="26">
        <f t="shared" si="36"/>
        <v>4288452.6153372005</v>
      </c>
      <c r="I50" s="26">
        <f t="shared" si="36"/>
        <v>4420878.1474577524</v>
      </c>
      <c r="J50" s="26">
        <f t="shared" si="36"/>
        <v>4560264.6879217774</v>
      </c>
      <c r="K50" s="26">
        <f t="shared" si="36"/>
        <v>4707050.0848058444</v>
      </c>
      <c r="L50" s="26">
        <f t="shared" si="36"/>
        <v>4861701.222536711</v>
      </c>
      <c r="M50" s="26">
        <f t="shared" si="36"/>
        <v>5024715.989630009</v>
      </c>
      <c r="N50" s="26">
        <f t="shared" si="36"/>
        <v>5196625.3813400874</v>
      </c>
      <c r="O50" s="26">
        <f t="shared" si="36"/>
        <v>5377995.7465350963</v>
      </c>
      <c r="P50" s="26">
        <f t="shared" si="36"/>
        <v>5569431.1887571421</v>
      </c>
    </row>
    <row r="51" spans="1:20" x14ac:dyDescent="0.45">
      <c r="A51" s="300"/>
      <c r="B51" s="303" t="s">
        <v>114</v>
      </c>
      <c r="C51" s="312"/>
      <c r="D51" s="53">
        <f>SUM(D38:D40,D42:D43,D45:D47,D49)</f>
        <v>3820519.9999999995</v>
      </c>
      <c r="E51" s="58">
        <f t="shared" ref="E51:P51" si="37">SUM(E38:E40,E42:E43,E45:E47,E49)</f>
        <v>3961859.8933333335</v>
      </c>
      <c r="F51" s="56">
        <f t="shared" si="37"/>
        <v>4113489.206666667</v>
      </c>
      <c r="G51" s="58">
        <f t="shared" si="37"/>
        <v>4276312.5549493339</v>
      </c>
      <c r="H51" s="26">
        <f t="shared" si="37"/>
        <v>4451318.923821466</v>
      </c>
      <c r="I51" s="26">
        <f t="shared" si="37"/>
        <v>4639589.8123737499</v>
      </c>
      <c r="J51" s="26">
        <f t="shared" si="37"/>
        <v>4842308.1817031791</v>
      </c>
      <c r="K51" s="26">
        <f t="shared" si="37"/>
        <v>5060768.2905520853</v>
      </c>
      <c r="L51" s="26">
        <f t="shared" si="37"/>
        <v>5296386.5076421816</v>
      </c>
      <c r="M51" s="26">
        <f t="shared" si="37"/>
        <v>5550713.199502591</v>
      </c>
      <c r="N51" s="26">
        <f t="shared" si="37"/>
        <v>5825445.8027312858</v>
      </c>
      <c r="O51" s="26">
        <f t="shared" si="37"/>
        <v>6122443.2008226682</v>
      </c>
      <c r="P51" s="26">
        <f t="shared" si="37"/>
        <v>6443741.5380507344</v>
      </c>
    </row>
    <row r="52" spans="1:20" x14ac:dyDescent="0.45">
      <c r="B52" s="84"/>
      <c r="D52" s="144" t="s">
        <v>167</v>
      </c>
    </row>
    <row r="53" spans="1:20" ht="20" customHeight="1" x14ac:dyDescent="0.45">
      <c r="D53" s="293" t="s">
        <v>56</v>
      </c>
      <c r="E53" s="293"/>
      <c r="F53" s="293"/>
    </row>
    <row r="54" spans="1:20" x14ac:dyDescent="0.45">
      <c r="D54" s="137" t="s">
        <v>22</v>
      </c>
      <c r="E54" s="126" t="s">
        <v>54</v>
      </c>
      <c r="F54" s="139" t="s">
        <v>55</v>
      </c>
    </row>
    <row r="55" spans="1:20" x14ac:dyDescent="0.45">
      <c r="D55" s="8" t="s">
        <v>0</v>
      </c>
      <c r="E55" s="233">
        <v>1638338</v>
      </c>
      <c r="F55" s="24">
        <f t="shared" ref="F55:F63" si="38">E55*(4/3)</f>
        <v>2184450.6666666665</v>
      </c>
    </row>
    <row r="56" spans="1:20" x14ac:dyDescent="0.45">
      <c r="D56" s="8" t="s">
        <v>18</v>
      </c>
      <c r="E56" s="233">
        <v>22208</v>
      </c>
      <c r="F56" s="24">
        <f t="shared" si="38"/>
        <v>29610.666666666664</v>
      </c>
    </row>
    <row r="57" spans="1:20" x14ac:dyDescent="0.45">
      <c r="D57" s="8" t="s">
        <v>53</v>
      </c>
      <c r="E57" s="233">
        <v>50015</v>
      </c>
      <c r="F57" s="24">
        <f t="shared" si="38"/>
        <v>66686.666666666657</v>
      </c>
    </row>
    <row r="58" spans="1:20" x14ac:dyDescent="0.45">
      <c r="D58" s="8" t="s">
        <v>1</v>
      </c>
      <c r="E58" s="233">
        <v>410745</v>
      </c>
      <c r="F58" s="24">
        <f t="shared" si="38"/>
        <v>547660</v>
      </c>
    </row>
    <row r="59" spans="1:20" x14ac:dyDescent="0.45">
      <c r="D59" s="9" t="s">
        <v>2</v>
      </c>
      <c r="E59" s="233">
        <v>37561</v>
      </c>
      <c r="F59" s="24">
        <f t="shared" si="38"/>
        <v>50081.333333333328</v>
      </c>
    </row>
    <row r="60" spans="1:20" x14ac:dyDescent="0.45">
      <c r="D60" s="8" t="s">
        <v>3</v>
      </c>
      <c r="E60" s="233">
        <v>204337</v>
      </c>
      <c r="F60" s="24">
        <f t="shared" si="38"/>
        <v>272449.33333333331</v>
      </c>
    </row>
    <row r="61" spans="1:20" x14ac:dyDescent="0.45">
      <c r="D61" s="9" t="s">
        <v>4</v>
      </c>
      <c r="E61" s="233">
        <v>27194</v>
      </c>
      <c r="F61" s="24">
        <f t="shared" si="38"/>
        <v>36258.666666666664</v>
      </c>
    </row>
    <row r="62" spans="1:20" x14ac:dyDescent="0.45">
      <c r="D62" s="9" t="s">
        <v>5</v>
      </c>
      <c r="E62" s="233">
        <v>60713</v>
      </c>
      <c r="F62" s="24">
        <f t="shared" si="38"/>
        <v>80950.666666666657</v>
      </c>
    </row>
    <row r="63" spans="1:20" x14ac:dyDescent="0.45">
      <c r="D63" s="8" t="s">
        <v>6</v>
      </c>
      <c r="E63" s="233">
        <v>414279</v>
      </c>
      <c r="F63" s="24">
        <f t="shared" si="38"/>
        <v>552372</v>
      </c>
    </row>
    <row r="64" spans="1:20" x14ac:dyDescent="0.45">
      <c r="D64" s="25" t="s">
        <v>39</v>
      </c>
      <c r="E64" s="26">
        <f>SUM(E55:E63)</f>
        <v>2865390</v>
      </c>
      <c r="F64" s="26">
        <f>SUM(F55:F63)</f>
        <v>3820519.9999999995</v>
      </c>
    </row>
    <row r="65" spans="5:5" x14ac:dyDescent="0.45">
      <c r="E65" s="198" t="s">
        <v>402</v>
      </c>
    </row>
    <row r="66" spans="5:5" x14ac:dyDescent="0.45">
      <c r="E66" s="179" t="s">
        <v>401</v>
      </c>
    </row>
  </sheetData>
  <mergeCells count="48">
    <mergeCell ref="B47:C47"/>
    <mergeCell ref="B48:C48"/>
    <mergeCell ref="B49:C49"/>
    <mergeCell ref="B50:C50"/>
    <mergeCell ref="B51:C51"/>
    <mergeCell ref="A3:A4"/>
    <mergeCell ref="B31:E31"/>
    <mergeCell ref="B32:E32"/>
    <mergeCell ref="B33:E33"/>
    <mergeCell ref="A35:A36"/>
    <mergeCell ref="A17:A18"/>
    <mergeCell ref="B26:E26"/>
    <mergeCell ref="B27:E27"/>
    <mergeCell ref="B28:E28"/>
    <mergeCell ref="B29:E29"/>
    <mergeCell ref="B30:E30"/>
    <mergeCell ref="B4:F4"/>
    <mergeCell ref="A32:A33"/>
    <mergeCell ref="B18:E18"/>
    <mergeCell ref="B36:C36"/>
    <mergeCell ref="A48:A49"/>
    <mergeCell ref="A44:A45"/>
    <mergeCell ref="A41:A42"/>
    <mergeCell ref="D53:F53"/>
    <mergeCell ref="E36:F36"/>
    <mergeCell ref="B37:C37"/>
    <mergeCell ref="B38:C38"/>
    <mergeCell ref="B39:C39"/>
    <mergeCell ref="B40:C40"/>
    <mergeCell ref="B41:C41"/>
    <mergeCell ref="B42:C42"/>
    <mergeCell ref="B43:C43"/>
    <mergeCell ref="B44:C44"/>
    <mergeCell ref="B45:C45"/>
    <mergeCell ref="B46:C46"/>
    <mergeCell ref="A50:A51"/>
    <mergeCell ref="G36:P36"/>
    <mergeCell ref="G18:P18"/>
    <mergeCell ref="A23:A24"/>
    <mergeCell ref="A26:A27"/>
    <mergeCell ref="A30:A31"/>
    <mergeCell ref="B19:E19"/>
    <mergeCell ref="B20:E20"/>
    <mergeCell ref="B21:E21"/>
    <mergeCell ref="B22:E22"/>
    <mergeCell ref="B23:E23"/>
    <mergeCell ref="B24:E24"/>
    <mergeCell ref="B25:E25"/>
  </mergeCells>
  <phoneticPr fontId="1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488B9-82CD-465B-80D4-B12EE6FA1290}">
  <dimension ref="A1:T35"/>
  <sheetViews>
    <sheetView showGridLines="0" workbookViewId="0">
      <pane xSplit="5" ySplit="5" topLeftCell="F6" activePane="bottomRight" state="frozen"/>
      <selection pane="topRight"/>
      <selection pane="bottomLeft"/>
      <selection pane="bottomRight" activeCell="B20" sqref="B20"/>
    </sheetView>
  </sheetViews>
  <sheetFormatPr defaultColWidth="9.1328125" defaultRowHeight="14.55" customHeight="1" x14ac:dyDescent="0.35"/>
  <cols>
    <col min="1" max="1" width="3.796875" style="4" customWidth="1"/>
    <col min="2" max="2" width="40.46484375" style="4" customWidth="1"/>
    <col min="3" max="3" width="20.33203125" style="4" customWidth="1"/>
    <col min="4" max="4" width="15.796875" style="4" customWidth="1"/>
    <col min="5" max="5" width="1.33203125" style="4" customWidth="1"/>
    <col min="6" max="20" width="11.33203125" style="4" bestFit="1" customWidth="1"/>
    <col min="21" max="16384" width="9.1328125" style="4"/>
  </cols>
  <sheetData>
    <row r="1" spans="1:20" ht="14.55" customHeight="1" x14ac:dyDescent="0.35">
      <c r="A1" s="180" t="s">
        <v>394</v>
      </c>
      <c r="K1" s="208" t="s">
        <v>424</v>
      </c>
    </row>
    <row r="3" spans="1:20" s="159" customFormat="1" ht="25.05" customHeight="1" x14ac:dyDescent="0.5">
      <c r="B3" s="189" t="s">
        <v>380</v>
      </c>
      <c r="F3" s="180" t="s">
        <v>393</v>
      </c>
    </row>
    <row r="4" spans="1:20" s="159" customFormat="1" ht="14.55" customHeight="1" x14ac:dyDescent="0.45">
      <c r="F4" s="313" t="s">
        <v>381</v>
      </c>
      <c r="G4" s="313"/>
      <c r="H4" s="313"/>
      <c r="I4" s="313"/>
      <c r="J4" s="313"/>
      <c r="K4" s="313"/>
      <c r="L4" s="314" t="s">
        <v>392</v>
      </c>
      <c r="M4" s="314"/>
      <c r="N4" s="314"/>
      <c r="O4" s="314"/>
      <c r="P4" s="314"/>
      <c r="Q4" s="314"/>
      <c r="R4" s="314"/>
      <c r="S4" s="314"/>
      <c r="T4" s="314"/>
    </row>
    <row r="5" spans="1:20" ht="14.55" customHeight="1" x14ac:dyDescent="0.35">
      <c r="B5" s="190" t="s">
        <v>127</v>
      </c>
      <c r="C5" s="191" t="s">
        <v>360</v>
      </c>
      <c r="D5" s="195" t="s">
        <v>361</v>
      </c>
      <c r="E5" s="196" t="s">
        <v>395</v>
      </c>
      <c r="F5" s="192" t="s">
        <v>375</v>
      </c>
      <c r="G5" s="192" t="s">
        <v>376</v>
      </c>
      <c r="H5" s="192" t="s">
        <v>377</v>
      </c>
      <c r="I5" s="192" t="s">
        <v>378</v>
      </c>
      <c r="J5" s="192" t="s">
        <v>379</v>
      </c>
      <c r="K5" s="192" t="s">
        <v>382</v>
      </c>
      <c r="L5" s="192" t="s">
        <v>383</v>
      </c>
      <c r="M5" s="192" t="s">
        <v>384</v>
      </c>
      <c r="N5" s="192" t="s">
        <v>385</v>
      </c>
      <c r="O5" s="192" t="s">
        <v>386</v>
      </c>
      <c r="P5" s="192" t="s">
        <v>387</v>
      </c>
      <c r="Q5" s="192" t="s">
        <v>388</v>
      </c>
      <c r="R5" s="192" t="s">
        <v>389</v>
      </c>
      <c r="S5" s="192" t="s">
        <v>390</v>
      </c>
      <c r="T5" s="193" t="s">
        <v>391</v>
      </c>
    </row>
    <row r="6" spans="1:20" ht="14.55" customHeight="1" x14ac:dyDescent="0.35">
      <c r="B6" s="4" t="s">
        <v>369</v>
      </c>
      <c r="C6" s="4" t="s">
        <v>365</v>
      </c>
      <c r="D6" s="4" t="s">
        <v>362</v>
      </c>
      <c r="E6" s="194"/>
      <c r="F6" s="29">
        <v>374.09700000000004</v>
      </c>
      <c r="G6" s="29">
        <v>364.16200000000003</v>
      </c>
      <c r="H6" s="29">
        <v>366.1</v>
      </c>
      <c r="I6" s="29">
        <v>367.73699999999997</v>
      </c>
      <c r="J6" s="29">
        <v>380.56099999999998</v>
      </c>
      <c r="K6" s="29"/>
      <c r="L6" s="29"/>
      <c r="M6" s="29"/>
      <c r="N6" s="29"/>
      <c r="O6" s="29"/>
      <c r="P6" s="29"/>
      <c r="Q6" s="29"/>
      <c r="R6" s="29"/>
      <c r="S6" s="29"/>
      <c r="T6" s="29"/>
    </row>
    <row r="7" spans="1:20" ht="14.55" customHeight="1" x14ac:dyDescent="0.35">
      <c r="B7" s="4" t="s">
        <v>369</v>
      </c>
      <c r="C7" s="4" t="s">
        <v>365</v>
      </c>
      <c r="D7" s="4" t="s">
        <v>363</v>
      </c>
      <c r="E7" s="188"/>
      <c r="F7" s="29">
        <v>314.64699999999999</v>
      </c>
      <c r="G7" s="29">
        <v>320.96199999999999</v>
      </c>
      <c r="H7" s="29">
        <v>329.4</v>
      </c>
      <c r="I7" s="29">
        <v>342.03700000000003</v>
      </c>
      <c r="J7" s="29">
        <v>358.45100000000002</v>
      </c>
      <c r="K7" s="29"/>
      <c r="L7" s="29"/>
      <c r="M7" s="29"/>
      <c r="N7" s="29"/>
      <c r="O7" s="29"/>
      <c r="P7" s="29"/>
      <c r="Q7" s="29"/>
      <c r="R7" s="29"/>
      <c r="S7" s="29"/>
      <c r="T7" s="29"/>
    </row>
    <row r="8" spans="1:20" ht="14.55" customHeight="1" thickBot="1" x14ac:dyDescent="0.4">
      <c r="B8" s="197" t="s">
        <v>369</v>
      </c>
      <c r="C8" s="197" t="s">
        <v>365</v>
      </c>
      <c r="D8" s="197" t="s">
        <v>364</v>
      </c>
      <c r="F8" s="29"/>
      <c r="G8" s="29"/>
      <c r="H8" s="29"/>
      <c r="I8" s="29"/>
      <c r="J8" s="29">
        <v>358.45100000000002</v>
      </c>
      <c r="K8" s="29">
        <v>367.94215503347209</v>
      </c>
      <c r="L8" s="29">
        <v>380.58734321579379</v>
      </c>
      <c r="M8" s="29">
        <v>391.58632109882342</v>
      </c>
      <c r="N8" s="29">
        <v>408.39595503291508</v>
      </c>
      <c r="O8" s="29">
        <v>426.21851356094669</v>
      </c>
      <c r="P8" s="29">
        <v>443.97755118699263</v>
      </c>
      <c r="Q8" s="29">
        <v>460.04233627941738</v>
      </c>
      <c r="R8" s="29">
        <v>475.14937596954621</v>
      </c>
      <c r="S8" s="29">
        <v>489.01159214389241</v>
      </c>
      <c r="T8" s="29"/>
    </row>
    <row r="9" spans="1:20" ht="14.55" customHeight="1" x14ac:dyDescent="0.35">
      <c r="B9" s="4" t="s">
        <v>368</v>
      </c>
      <c r="C9" s="4" t="s">
        <v>366</v>
      </c>
      <c r="D9" s="4" t="s">
        <v>362</v>
      </c>
      <c r="E9" s="194"/>
      <c r="F9" s="29"/>
      <c r="G9" s="29"/>
      <c r="H9" s="29"/>
      <c r="I9" s="29"/>
      <c r="J9" s="29"/>
      <c r="K9" s="29"/>
      <c r="L9" s="29"/>
      <c r="M9" s="29"/>
      <c r="N9" s="29"/>
      <c r="O9" s="29"/>
      <c r="P9" s="29"/>
      <c r="Q9" s="29"/>
      <c r="R9" s="29"/>
      <c r="S9" s="29"/>
      <c r="T9" s="29"/>
    </row>
    <row r="10" spans="1:20" ht="14.55" customHeight="1" x14ac:dyDescent="0.35">
      <c r="B10" s="4" t="s">
        <v>368</v>
      </c>
      <c r="C10" s="4" t="s">
        <v>366</v>
      </c>
      <c r="D10" s="4" t="s">
        <v>363</v>
      </c>
      <c r="E10" s="188"/>
      <c r="F10" s="29">
        <v>67.099999999999994</v>
      </c>
      <c r="G10" s="29">
        <v>59</v>
      </c>
      <c r="H10" s="29">
        <v>67.099999999999994</v>
      </c>
      <c r="I10" s="29">
        <v>57.9</v>
      </c>
      <c r="J10" s="29">
        <v>56.9</v>
      </c>
      <c r="K10" s="29"/>
      <c r="L10" s="29"/>
      <c r="M10" s="29"/>
      <c r="N10" s="29"/>
      <c r="O10" s="29"/>
      <c r="P10" s="29"/>
      <c r="Q10" s="29"/>
      <c r="R10" s="29"/>
      <c r="S10" s="29"/>
      <c r="T10" s="29"/>
    </row>
    <row r="11" spans="1:20" ht="14.55" customHeight="1" x14ac:dyDescent="0.35">
      <c r="B11" s="4" t="s">
        <v>368</v>
      </c>
      <c r="C11" s="4" t="s">
        <v>366</v>
      </c>
      <c r="D11" s="4" t="s">
        <v>364</v>
      </c>
      <c r="F11" s="29"/>
      <c r="G11" s="29"/>
      <c r="H11" s="29"/>
      <c r="I11" s="29"/>
      <c r="J11" s="29"/>
      <c r="K11" s="29"/>
      <c r="L11" s="29"/>
      <c r="M11" s="29"/>
      <c r="N11" s="29"/>
      <c r="O11" s="29"/>
      <c r="P11" s="29"/>
      <c r="Q11" s="29"/>
      <c r="R11" s="29"/>
      <c r="S11" s="29"/>
      <c r="T11" s="29"/>
    </row>
    <row r="12" spans="1:20" ht="14.55" customHeight="1" x14ac:dyDescent="0.35">
      <c r="B12" s="4" t="s">
        <v>368</v>
      </c>
      <c r="C12" s="4" t="s">
        <v>367</v>
      </c>
      <c r="D12" s="4" t="s">
        <v>362</v>
      </c>
      <c r="E12" s="194"/>
      <c r="F12" s="29"/>
      <c r="G12" s="29"/>
      <c r="H12" s="29"/>
      <c r="I12" s="29"/>
      <c r="J12" s="29"/>
      <c r="K12" s="29"/>
      <c r="L12" s="29"/>
      <c r="M12" s="29"/>
      <c r="N12" s="29"/>
      <c r="O12" s="29"/>
      <c r="P12" s="29"/>
      <c r="Q12" s="29"/>
      <c r="R12" s="29"/>
      <c r="S12" s="29"/>
      <c r="T12" s="29"/>
    </row>
    <row r="13" spans="1:20" ht="14.55" customHeight="1" x14ac:dyDescent="0.35">
      <c r="B13" s="4" t="s">
        <v>368</v>
      </c>
      <c r="C13" s="4" t="s">
        <v>367</v>
      </c>
      <c r="D13" s="4" t="s">
        <v>363</v>
      </c>
      <c r="E13" s="188"/>
      <c r="F13" s="29">
        <v>289.89999999999998</v>
      </c>
      <c r="G13" s="29">
        <v>298.5</v>
      </c>
      <c r="H13" s="29">
        <v>298.5</v>
      </c>
      <c r="I13" s="29">
        <v>314.10000000000002</v>
      </c>
      <c r="J13" s="29">
        <v>337.6</v>
      </c>
      <c r="K13" s="29"/>
      <c r="L13" s="29"/>
      <c r="M13" s="29"/>
      <c r="N13" s="29"/>
      <c r="O13" s="29"/>
      <c r="P13" s="29"/>
      <c r="Q13" s="29"/>
      <c r="R13" s="29"/>
      <c r="S13" s="29"/>
      <c r="T13" s="29"/>
    </row>
    <row r="14" spans="1:20" ht="14.55" customHeight="1" x14ac:dyDescent="0.35">
      <c r="B14" s="4" t="s">
        <v>368</v>
      </c>
      <c r="C14" s="4" t="s">
        <v>367</v>
      </c>
      <c r="D14" s="4" t="s">
        <v>364</v>
      </c>
      <c r="F14" s="29"/>
      <c r="G14" s="29"/>
      <c r="H14" s="29"/>
      <c r="I14" s="29"/>
      <c r="J14" s="29"/>
      <c r="K14" s="29"/>
      <c r="L14" s="29"/>
      <c r="M14" s="29"/>
      <c r="N14" s="29"/>
      <c r="O14" s="29"/>
      <c r="P14" s="29"/>
      <c r="Q14" s="29"/>
      <c r="R14" s="29"/>
      <c r="S14" s="29"/>
      <c r="T14" s="29"/>
    </row>
    <row r="15" spans="1:20" ht="14.55" customHeight="1" x14ac:dyDescent="0.35">
      <c r="B15" s="4" t="s">
        <v>368</v>
      </c>
      <c r="C15" s="4" t="s">
        <v>46</v>
      </c>
      <c r="D15" s="4" t="s">
        <v>362</v>
      </c>
      <c r="E15" s="194"/>
      <c r="F15" s="29"/>
      <c r="G15" s="29"/>
      <c r="H15" s="29"/>
      <c r="I15" s="29"/>
      <c r="J15" s="29"/>
      <c r="K15" s="29"/>
      <c r="L15" s="29"/>
      <c r="M15" s="29"/>
      <c r="N15" s="29"/>
      <c r="O15" s="29"/>
      <c r="P15" s="29"/>
      <c r="Q15" s="29"/>
      <c r="R15" s="29"/>
      <c r="S15" s="29"/>
      <c r="T15" s="29"/>
    </row>
    <row r="16" spans="1:20" ht="14.55" customHeight="1" x14ac:dyDescent="0.35">
      <c r="B16" s="4" t="s">
        <v>368</v>
      </c>
      <c r="C16" s="4" t="s">
        <v>46</v>
      </c>
      <c r="D16" s="4" t="s">
        <v>363</v>
      </c>
      <c r="E16" s="188"/>
      <c r="F16" s="29">
        <v>75</v>
      </c>
      <c r="G16" s="29">
        <v>69.7</v>
      </c>
      <c r="H16" s="29">
        <v>75.3</v>
      </c>
      <c r="I16" s="29">
        <v>76.7</v>
      </c>
      <c r="J16" s="29">
        <v>73.7</v>
      </c>
      <c r="K16" s="29"/>
      <c r="L16" s="29"/>
      <c r="M16" s="29"/>
      <c r="N16" s="29"/>
      <c r="O16" s="29"/>
      <c r="P16" s="29"/>
      <c r="Q16" s="29"/>
      <c r="R16" s="29"/>
      <c r="S16" s="29"/>
      <c r="T16" s="29"/>
    </row>
    <row r="17" spans="2:20" ht="14.55" customHeight="1" thickBot="1" x14ac:dyDescent="0.4">
      <c r="B17" s="197" t="s">
        <v>368</v>
      </c>
      <c r="C17" s="197" t="s">
        <v>46</v>
      </c>
      <c r="D17" s="197" t="s">
        <v>364</v>
      </c>
      <c r="F17" s="29"/>
      <c r="G17" s="29"/>
      <c r="H17" s="29"/>
      <c r="I17" s="29"/>
      <c r="J17" s="29"/>
      <c r="K17" s="29"/>
      <c r="L17" s="29"/>
      <c r="M17" s="29"/>
      <c r="N17" s="29"/>
      <c r="O17" s="29"/>
      <c r="P17" s="29"/>
      <c r="Q17" s="29"/>
      <c r="R17" s="29"/>
      <c r="S17" s="29"/>
      <c r="T17" s="29"/>
    </row>
    <row r="18" spans="2:20" ht="14.55" customHeight="1" x14ac:dyDescent="0.35">
      <c r="B18" s="4" t="s">
        <v>23</v>
      </c>
      <c r="C18" s="4" t="s">
        <v>31</v>
      </c>
      <c r="D18" s="4" t="s">
        <v>362</v>
      </c>
      <c r="E18" s="194"/>
      <c r="F18" s="29"/>
      <c r="G18" s="29"/>
      <c r="H18" s="29"/>
      <c r="I18" s="29"/>
      <c r="J18" s="29"/>
      <c r="K18" s="29"/>
      <c r="L18" s="29"/>
      <c r="M18" s="29"/>
      <c r="N18" s="29"/>
      <c r="O18" s="29"/>
      <c r="P18" s="29"/>
      <c r="Q18" s="29"/>
      <c r="R18" s="29"/>
      <c r="S18" s="29"/>
      <c r="T18" s="29"/>
    </row>
    <row r="19" spans="2:20" ht="14.55" customHeight="1" x14ac:dyDescent="0.35">
      <c r="B19" s="4" t="s">
        <v>23</v>
      </c>
      <c r="C19" s="4" t="s">
        <v>31</v>
      </c>
      <c r="D19" s="4" t="s">
        <v>363</v>
      </c>
      <c r="E19" s="188"/>
      <c r="F19" s="29">
        <v>330.58600000000001</v>
      </c>
      <c r="G19" s="29">
        <v>341.149</v>
      </c>
      <c r="H19" s="29">
        <v>335.7</v>
      </c>
      <c r="I19" s="29">
        <v>332.4</v>
      </c>
      <c r="J19" s="29">
        <v>336.2</v>
      </c>
      <c r="K19" s="29"/>
      <c r="L19" s="29"/>
      <c r="M19" s="29"/>
      <c r="N19" s="29"/>
      <c r="O19" s="29"/>
      <c r="P19" s="29"/>
      <c r="Q19" s="29"/>
      <c r="R19" s="29"/>
      <c r="S19" s="29"/>
      <c r="T19" s="29"/>
    </row>
    <row r="20" spans="2:20" ht="14.55" customHeight="1" x14ac:dyDescent="0.35">
      <c r="B20" s="4" t="s">
        <v>23</v>
      </c>
      <c r="C20" s="4" t="s">
        <v>31</v>
      </c>
      <c r="D20" s="4" t="s">
        <v>364</v>
      </c>
      <c r="F20" s="29"/>
      <c r="G20" s="29"/>
      <c r="H20" s="29"/>
      <c r="I20" s="29"/>
      <c r="J20" s="29"/>
      <c r="K20" s="29"/>
      <c r="L20" s="29"/>
      <c r="M20" s="29"/>
      <c r="N20" s="29"/>
      <c r="O20" s="29"/>
      <c r="P20" s="29"/>
      <c r="Q20" s="29"/>
      <c r="R20" s="29"/>
      <c r="S20" s="29"/>
      <c r="T20" s="29"/>
    </row>
    <row r="21" spans="2:20" ht="14.55" customHeight="1" x14ac:dyDescent="0.35">
      <c r="B21" s="4" t="s">
        <v>23</v>
      </c>
      <c r="C21" s="4" t="s">
        <v>32</v>
      </c>
      <c r="D21" s="4" t="s">
        <v>362</v>
      </c>
      <c r="E21" s="194"/>
      <c r="F21" s="29"/>
      <c r="G21" s="29"/>
      <c r="H21" s="29"/>
      <c r="I21" s="29"/>
      <c r="J21" s="29"/>
      <c r="K21" s="29"/>
      <c r="L21" s="29"/>
      <c r="M21" s="29"/>
      <c r="N21" s="29"/>
      <c r="O21" s="29"/>
      <c r="P21" s="29"/>
      <c r="Q21" s="29"/>
      <c r="R21" s="29"/>
      <c r="S21" s="29"/>
      <c r="T21" s="29"/>
    </row>
    <row r="22" spans="2:20" ht="14.55" customHeight="1" x14ac:dyDescent="0.35">
      <c r="B22" s="4" t="s">
        <v>23</v>
      </c>
      <c r="C22" s="4" t="s">
        <v>32</v>
      </c>
      <c r="D22" s="4" t="s">
        <v>363</v>
      </c>
      <c r="E22" s="188"/>
      <c r="F22" s="29">
        <v>821.44200000000001</v>
      </c>
      <c r="G22" s="29">
        <v>835.47199999999998</v>
      </c>
      <c r="H22" s="29">
        <v>861.2</v>
      </c>
      <c r="I22" s="29">
        <v>873.2</v>
      </c>
      <c r="J22" s="29">
        <v>905.8</v>
      </c>
      <c r="K22" s="29"/>
      <c r="L22" s="29"/>
      <c r="M22" s="29"/>
      <c r="N22" s="29"/>
      <c r="O22" s="29"/>
      <c r="P22" s="29"/>
      <c r="Q22" s="29"/>
      <c r="R22" s="29"/>
      <c r="S22" s="29"/>
      <c r="T22" s="29"/>
    </row>
    <row r="23" spans="2:20" ht="14.55" customHeight="1" x14ac:dyDescent="0.35">
      <c r="B23" s="4" t="s">
        <v>23</v>
      </c>
      <c r="C23" s="4" t="s">
        <v>32</v>
      </c>
      <c r="D23" s="4" t="s">
        <v>364</v>
      </c>
      <c r="F23" s="29"/>
      <c r="G23" s="29"/>
      <c r="H23" s="29"/>
      <c r="I23" s="29"/>
      <c r="J23" s="29"/>
      <c r="K23" s="29"/>
      <c r="L23" s="29"/>
      <c r="M23" s="29"/>
      <c r="N23" s="29"/>
      <c r="O23" s="29"/>
      <c r="P23" s="29"/>
      <c r="Q23" s="29"/>
      <c r="R23" s="29"/>
      <c r="S23" s="29"/>
      <c r="T23" s="29"/>
    </row>
    <row r="24" spans="2:20" ht="14.55" customHeight="1" x14ac:dyDescent="0.35">
      <c r="B24" s="4" t="s">
        <v>23</v>
      </c>
      <c r="C24" s="4" t="s">
        <v>370</v>
      </c>
      <c r="D24" s="4" t="s">
        <v>362</v>
      </c>
      <c r="E24" s="194"/>
      <c r="F24" s="29"/>
      <c r="G24" s="29"/>
      <c r="H24" s="29"/>
      <c r="I24" s="29"/>
      <c r="J24" s="29"/>
      <c r="K24" s="29"/>
      <c r="L24" s="29"/>
      <c r="M24" s="29"/>
      <c r="N24" s="29"/>
      <c r="O24" s="29"/>
      <c r="P24" s="29"/>
      <c r="Q24" s="29"/>
      <c r="R24" s="29"/>
      <c r="S24" s="29"/>
      <c r="T24" s="29"/>
    </row>
    <row r="25" spans="2:20" ht="14.55" customHeight="1" x14ac:dyDescent="0.35">
      <c r="B25" s="4" t="s">
        <v>23</v>
      </c>
      <c r="C25" s="4" t="s">
        <v>370</v>
      </c>
      <c r="D25" s="4" t="s">
        <v>363</v>
      </c>
      <c r="E25" s="188"/>
      <c r="F25" s="29">
        <v>333.7</v>
      </c>
      <c r="G25" s="29">
        <v>342.3</v>
      </c>
      <c r="H25" s="29">
        <v>362.5</v>
      </c>
      <c r="I25" s="29">
        <v>379.1</v>
      </c>
      <c r="J25" s="29">
        <v>384.3</v>
      </c>
      <c r="K25" s="29"/>
      <c r="L25" s="29"/>
      <c r="M25" s="29"/>
      <c r="N25" s="29"/>
      <c r="O25" s="29"/>
      <c r="P25" s="29"/>
      <c r="Q25" s="29"/>
      <c r="R25" s="29"/>
      <c r="S25" s="29"/>
      <c r="T25" s="29"/>
    </row>
    <row r="26" spans="2:20" ht="14.55" customHeight="1" thickBot="1" x14ac:dyDescent="0.4">
      <c r="B26" s="197" t="s">
        <v>23</v>
      </c>
      <c r="C26" s="197" t="s">
        <v>370</v>
      </c>
      <c r="D26" s="197" t="s">
        <v>364</v>
      </c>
      <c r="F26" s="29"/>
      <c r="G26" s="29"/>
      <c r="H26" s="29"/>
      <c r="I26" s="29"/>
      <c r="J26" s="29"/>
      <c r="K26" s="29"/>
      <c r="L26" s="29"/>
      <c r="M26" s="29"/>
      <c r="N26" s="29"/>
      <c r="O26" s="29"/>
      <c r="P26" s="29"/>
      <c r="Q26" s="29"/>
      <c r="R26" s="29"/>
      <c r="S26" s="29"/>
      <c r="T26" s="29"/>
    </row>
    <row r="27" spans="2:20" ht="14.55" customHeight="1" x14ac:dyDescent="0.35">
      <c r="B27" s="4" t="s">
        <v>371</v>
      </c>
      <c r="C27" s="4" t="s">
        <v>372</v>
      </c>
      <c r="D27" s="4" t="s">
        <v>362</v>
      </c>
      <c r="E27" s="194"/>
      <c r="F27" s="29"/>
      <c r="G27" s="29"/>
      <c r="H27" s="29"/>
      <c r="I27" s="29"/>
      <c r="J27" s="29"/>
      <c r="K27" s="29"/>
      <c r="L27" s="29"/>
      <c r="M27" s="29"/>
      <c r="N27" s="29"/>
      <c r="O27" s="29"/>
      <c r="P27" s="29"/>
      <c r="Q27" s="29"/>
      <c r="R27" s="29"/>
      <c r="S27" s="29"/>
      <c r="T27" s="29"/>
    </row>
    <row r="28" spans="2:20" ht="14.55" customHeight="1" x14ac:dyDescent="0.35">
      <c r="B28" s="4" t="s">
        <v>371</v>
      </c>
      <c r="C28" s="4" t="s">
        <v>372</v>
      </c>
      <c r="D28" s="4" t="s">
        <v>363</v>
      </c>
      <c r="E28" s="188"/>
      <c r="F28" s="29"/>
      <c r="G28" s="29"/>
      <c r="H28" s="29"/>
      <c r="I28" s="29"/>
      <c r="J28" s="29"/>
      <c r="K28" s="29"/>
      <c r="L28" s="29"/>
      <c r="M28" s="29"/>
      <c r="N28" s="29"/>
      <c r="O28" s="29"/>
      <c r="P28" s="29"/>
      <c r="Q28" s="29"/>
      <c r="R28" s="29"/>
      <c r="S28" s="29"/>
      <c r="T28" s="29"/>
    </row>
    <row r="29" spans="2:20" ht="14.55" customHeight="1" thickBot="1" x14ac:dyDescent="0.4">
      <c r="B29" s="197" t="s">
        <v>371</v>
      </c>
      <c r="C29" s="197" t="s">
        <v>372</v>
      </c>
      <c r="D29" s="197" t="s">
        <v>364</v>
      </c>
      <c r="F29" s="29"/>
      <c r="G29" s="29"/>
      <c r="H29" s="29"/>
      <c r="I29" s="29"/>
      <c r="J29" s="29"/>
      <c r="K29" s="29"/>
      <c r="L29" s="29"/>
      <c r="M29" s="29"/>
      <c r="N29" s="29"/>
      <c r="O29" s="29"/>
      <c r="P29" s="29"/>
      <c r="Q29" s="29"/>
      <c r="R29" s="29"/>
      <c r="S29" s="29"/>
      <c r="T29" s="29"/>
    </row>
    <row r="30" spans="2:20" ht="14.55" customHeight="1" x14ac:dyDescent="0.35">
      <c r="B30" s="4" t="s">
        <v>373</v>
      </c>
      <c r="C30" s="4" t="s">
        <v>374</v>
      </c>
      <c r="D30" s="4" t="s">
        <v>362</v>
      </c>
      <c r="E30" s="194"/>
      <c r="F30" s="29"/>
      <c r="G30" s="29"/>
      <c r="H30" s="29"/>
      <c r="I30" s="29"/>
      <c r="J30" s="29">
        <v>148.41</v>
      </c>
      <c r="K30" s="29"/>
      <c r="L30" s="29"/>
      <c r="M30" s="29"/>
      <c r="N30" s="29"/>
      <c r="O30" s="29"/>
      <c r="P30" s="29"/>
      <c r="Q30" s="29"/>
      <c r="R30" s="29"/>
      <c r="S30" s="29"/>
      <c r="T30" s="29"/>
    </row>
    <row r="31" spans="2:20" ht="14.55" customHeight="1" x14ac:dyDescent="0.35">
      <c r="B31" s="4" t="s">
        <v>373</v>
      </c>
      <c r="C31" s="4" t="s">
        <v>374</v>
      </c>
      <c r="D31" s="4" t="s">
        <v>363</v>
      </c>
      <c r="E31" s="188"/>
      <c r="F31" s="29"/>
      <c r="G31" s="29"/>
      <c r="H31" s="29"/>
      <c r="I31" s="29"/>
      <c r="J31" s="29">
        <v>129.69999999999999</v>
      </c>
      <c r="K31" s="29"/>
      <c r="L31" s="29"/>
      <c r="M31" s="29"/>
      <c r="N31" s="29"/>
      <c r="O31" s="29"/>
      <c r="P31" s="29"/>
      <c r="Q31" s="29"/>
      <c r="R31" s="29"/>
      <c r="S31" s="29"/>
      <c r="T31" s="29"/>
    </row>
    <row r="32" spans="2:20" ht="14.55" customHeight="1" thickBot="1" x14ac:dyDescent="0.4">
      <c r="B32" s="4" t="s">
        <v>373</v>
      </c>
      <c r="C32" s="4" t="s">
        <v>374</v>
      </c>
      <c r="D32" s="4" t="s">
        <v>364</v>
      </c>
      <c r="F32" s="29"/>
      <c r="G32" s="29"/>
      <c r="H32" s="29"/>
      <c r="I32" s="29"/>
      <c r="J32" s="29"/>
      <c r="K32" s="29"/>
      <c r="L32" s="29"/>
      <c r="M32" s="29"/>
      <c r="N32" s="29"/>
      <c r="O32" s="29"/>
      <c r="P32" s="29"/>
      <c r="Q32" s="29"/>
      <c r="R32" s="29"/>
      <c r="S32" s="29"/>
      <c r="T32" s="29"/>
    </row>
    <row r="33" spans="2:20" ht="14.55" customHeight="1" x14ac:dyDescent="0.35">
      <c r="B33" s="210" t="s">
        <v>23</v>
      </c>
      <c r="C33" s="210" t="s">
        <v>521</v>
      </c>
      <c r="D33" s="210" t="s">
        <v>362</v>
      </c>
      <c r="E33" s="194"/>
      <c r="F33" s="13"/>
      <c r="G33" s="13"/>
      <c r="H33" s="13"/>
      <c r="I33" s="13"/>
      <c r="J33" s="13"/>
      <c r="K33" s="13"/>
      <c r="L33" s="13"/>
      <c r="M33" s="13"/>
      <c r="N33" s="13"/>
      <c r="O33" s="13"/>
      <c r="P33" s="13"/>
      <c r="Q33" s="13"/>
      <c r="R33" s="13"/>
      <c r="S33" s="13"/>
      <c r="T33" s="13"/>
    </row>
    <row r="34" spans="2:20" ht="14.55" customHeight="1" x14ac:dyDescent="0.35">
      <c r="B34" s="4" t="s">
        <v>23</v>
      </c>
      <c r="C34" s="4" t="s">
        <v>521</v>
      </c>
      <c r="D34" s="4" t="s">
        <v>363</v>
      </c>
      <c r="E34" s="188"/>
      <c r="F34" s="13">
        <v>1342.9458580084279</v>
      </c>
      <c r="G34" s="13">
        <v>1373.2322759852709</v>
      </c>
      <c r="H34" s="13">
        <v>1406.8841879773902</v>
      </c>
      <c r="I34" s="13">
        <v>1426.573808723389</v>
      </c>
      <c r="J34" s="13">
        <v>1466.4163405233408</v>
      </c>
      <c r="K34" s="13"/>
      <c r="L34" s="13"/>
      <c r="M34" s="13"/>
      <c r="N34" s="13"/>
      <c r="O34" s="13"/>
      <c r="P34" s="13"/>
      <c r="Q34" s="13"/>
      <c r="R34" s="13"/>
      <c r="S34" s="13"/>
      <c r="T34" s="13"/>
    </row>
    <row r="35" spans="2:20" ht="14.55" customHeight="1" x14ac:dyDescent="0.35">
      <c r="B35" s="209" t="s">
        <v>23</v>
      </c>
      <c r="C35" s="209" t="s">
        <v>521</v>
      </c>
      <c r="D35" s="209" t="s">
        <v>522</v>
      </c>
      <c r="E35" s="209"/>
      <c r="F35" s="13"/>
      <c r="G35" s="13"/>
      <c r="H35" s="13"/>
      <c r="I35" s="13"/>
      <c r="J35" s="13"/>
      <c r="K35" s="13">
        <v>1478.0820948711294</v>
      </c>
      <c r="L35" s="13">
        <v>1496.3890619837841</v>
      </c>
      <c r="M35" s="13">
        <v>1521.633727593749</v>
      </c>
      <c r="N35" s="13">
        <v>1549.1350029638465</v>
      </c>
      <c r="O35" s="13">
        <v>1577.8881612367034</v>
      </c>
      <c r="P35" s="13">
        <v>1606.7567003871222</v>
      </c>
      <c r="Q35" s="13">
        <v>1634.1140121131234</v>
      </c>
      <c r="R35" s="13">
        <v>1660.7441248013085</v>
      </c>
      <c r="S35" s="13">
        <v>1687.7712317306839</v>
      </c>
      <c r="T35" s="13">
        <v>1715.6566200061638</v>
      </c>
    </row>
  </sheetData>
  <mergeCells count="2">
    <mergeCell ref="F4:K4"/>
    <mergeCell ref="L4:T4"/>
  </mergeCells>
  <phoneticPr fontId="12" type="noConversion"/>
  <hyperlinks>
    <hyperlink ref="K1" r:id="rId1" xr:uid="{896B8D57-1B76-4F4C-A42E-F55E67E72DEE}"/>
  </hyperlinks>
  <pageMargins left="0.7" right="0.7" top="0.75" bottom="0.75" header="0.3" footer="0.3"/>
  <pageSetup paperSize="9" orientation="portrait" r:id="rId2"/>
  <legacy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ACFAA-7FA1-4605-96CD-AF6DBDE892C2}">
  <sheetPr>
    <tabColor rgb="FFFF5050"/>
  </sheetPr>
  <dimension ref="A1:M54"/>
  <sheetViews>
    <sheetView showGridLines="0" zoomScaleNormal="100" workbookViewId="0">
      <selection activeCell="C28" sqref="C28"/>
    </sheetView>
  </sheetViews>
  <sheetFormatPr defaultRowHeight="14.25" x14ac:dyDescent="0.45"/>
  <cols>
    <col min="1" max="1" width="3.796875" style="116" customWidth="1"/>
    <col min="2" max="2" width="23.46484375" bestFit="1" customWidth="1"/>
    <col min="3" max="3" width="20.6640625" customWidth="1"/>
    <col min="4" max="4" width="40.1328125" customWidth="1"/>
    <col min="5" max="5" width="20.6640625" customWidth="1"/>
    <col min="6" max="10" width="10.6640625" customWidth="1"/>
    <col min="11" max="11" width="20.6640625" customWidth="1"/>
  </cols>
  <sheetData>
    <row r="1" spans="1:13" x14ac:dyDescent="0.45">
      <c r="A1" s="117" t="s">
        <v>331</v>
      </c>
    </row>
    <row r="2" spans="1:13" x14ac:dyDescent="0.45">
      <c r="B2" s="69"/>
    </row>
    <row r="3" spans="1:13" ht="25.05" customHeight="1" x14ac:dyDescent="0.45">
      <c r="B3" s="315" t="s">
        <v>147</v>
      </c>
      <c r="C3" s="315"/>
      <c r="D3" s="315"/>
      <c r="E3" s="315"/>
      <c r="F3" s="322" t="s">
        <v>140</v>
      </c>
      <c r="G3" s="322"/>
      <c r="H3" s="322"/>
      <c r="I3" s="322"/>
      <c r="J3" s="322"/>
      <c r="K3" s="322"/>
    </row>
    <row r="4" spans="1:13" s="7" customFormat="1" x14ac:dyDescent="0.45">
      <c r="A4" s="113"/>
      <c r="C4" s="27"/>
      <c r="D4" s="27"/>
    </row>
    <row r="5" spans="1:13" s="63" customFormat="1" ht="20" customHeight="1" x14ac:dyDescent="0.45">
      <c r="A5" s="115">
        <v>1</v>
      </c>
      <c r="B5" s="73" t="s">
        <v>139</v>
      </c>
      <c r="C5" s="70">
        <v>0.5</v>
      </c>
      <c r="D5" s="110" t="s">
        <v>88</v>
      </c>
      <c r="E5" s="70">
        <f>1-$C$5</f>
        <v>0.5</v>
      </c>
      <c r="F5" s="112" t="s">
        <v>89</v>
      </c>
      <c r="G5" s="112"/>
      <c r="H5" s="112"/>
      <c r="I5" s="112"/>
      <c r="J5" s="112"/>
      <c r="L5" s="69"/>
    </row>
    <row r="6" spans="1:13" s="7" customFormat="1" x14ac:dyDescent="0.45">
      <c r="A6" s="113"/>
      <c r="B6" s="27"/>
      <c r="C6" s="142" t="s">
        <v>62</v>
      </c>
      <c r="E6" s="120" t="s">
        <v>146</v>
      </c>
    </row>
    <row r="7" spans="1:13" s="7" customFormat="1" x14ac:dyDescent="0.45">
      <c r="A7" s="113"/>
      <c r="C7" s="27"/>
      <c r="D7" s="27"/>
    </row>
    <row r="8" spans="1:13" s="63" customFormat="1" ht="20" customHeight="1" x14ac:dyDescent="0.45">
      <c r="A8" s="113">
        <v>2</v>
      </c>
      <c r="B8" s="73" t="s">
        <v>139</v>
      </c>
      <c r="C8" s="70">
        <v>0.6</v>
      </c>
      <c r="D8" s="110" t="s">
        <v>90</v>
      </c>
      <c r="E8" s="70">
        <f>1-$C$8</f>
        <v>0.4</v>
      </c>
      <c r="F8" s="112" t="s">
        <v>91</v>
      </c>
      <c r="G8" s="112"/>
      <c r="H8" s="112"/>
      <c r="I8" s="112"/>
      <c r="J8" s="112"/>
      <c r="L8" s="69"/>
    </row>
    <row r="9" spans="1:13" s="7" customFormat="1" x14ac:dyDescent="0.45">
      <c r="A9" s="113"/>
      <c r="B9" s="27"/>
      <c r="C9" s="142" t="s">
        <v>62</v>
      </c>
      <c r="E9" s="120" t="s">
        <v>146</v>
      </c>
    </row>
    <row r="10" spans="1:13" s="7" customFormat="1" x14ac:dyDescent="0.45">
      <c r="A10" s="113"/>
      <c r="C10" s="27"/>
      <c r="D10" s="27"/>
      <c r="M10" s="72"/>
    </row>
    <row r="11" spans="1:13" s="63" customFormat="1" ht="20" customHeight="1" x14ac:dyDescent="0.45">
      <c r="A11" s="113">
        <v>3</v>
      </c>
      <c r="B11" s="73" t="s">
        <v>139</v>
      </c>
      <c r="C11" s="70">
        <v>0.1</v>
      </c>
      <c r="D11" s="110" t="s">
        <v>141</v>
      </c>
      <c r="E11" s="71"/>
      <c r="F11" s="118"/>
      <c r="G11" s="118"/>
      <c r="H11" s="118"/>
      <c r="I11" s="118"/>
      <c r="J11" s="118"/>
      <c r="K11" s="71"/>
      <c r="L11"/>
      <c r="M11" s="72"/>
    </row>
    <row r="12" spans="1:13" s="7" customFormat="1" x14ac:dyDescent="0.45">
      <c r="A12" s="113"/>
      <c r="B12" s="27"/>
      <c r="C12" s="142" t="s">
        <v>62</v>
      </c>
    </row>
    <row r="13" spans="1:13" s="7" customFormat="1" x14ac:dyDescent="0.45">
      <c r="A13" s="113"/>
      <c r="C13" s="27"/>
      <c r="D13" s="27"/>
    </row>
    <row r="14" spans="1:13" s="63" customFormat="1" ht="20" customHeight="1" x14ac:dyDescent="0.45">
      <c r="A14" s="115">
        <v>4</v>
      </c>
      <c r="B14" s="73" t="s">
        <v>139</v>
      </c>
      <c r="C14" s="70">
        <v>0.54</v>
      </c>
      <c r="D14" s="110" t="s">
        <v>142</v>
      </c>
      <c r="E14" s="70">
        <f>1-$C$14</f>
        <v>0.45999999999999996</v>
      </c>
      <c r="F14" s="112" t="s">
        <v>143</v>
      </c>
      <c r="G14" s="112"/>
      <c r="H14" s="112"/>
      <c r="I14" s="112"/>
      <c r="J14" s="112"/>
      <c r="L14" s="69"/>
    </row>
    <row r="15" spans="1:13" s="7" customFormat="1" x14ac:dyDescent="0.45">
      <c r="A15" s="113"/>
      <c r="B15" s="27"/>
      <c r="C15" s="142" t="s">
        <v>62</v>
      </c>
      <c r="E15" s="120" t="s">
        <v>146</v>
      </c>
    </row>
    <row r="16" spans="1:13" s="7" customFormat="1" x14ac:dyDescent="0.45">
      <c r="A16" s="113"/>
      <c r="C16" s="27"/>
      <c r="D16" s="27"/>
    </row>
    <row r="17" spans="1:13" s="63" customFormat="1" ht="20" customHeight="1" x14ac:dyDescent="0.45">
      <c r="A17" s="113">
        <v>5</v>
      </c>
      <c r="B17" s="73" t="s">
        <v>139</v>
      </c>
      <c r="C17" s="70">
        <v>0.42</v>
      </c>
      <c r="D17" s="110" t="s">
        <v>163</v>
      </c>
      <c r="E17" s="119"/>
      <c r="F17" s="112"/>
      <c r="G17" s="112"/>
      <c r="H17" s="112"/>
      <c r="I17" s="112"/>
      <c r="J17" s="112"/>
      <c r="L17" s="69"/>
    </row>
    <row r="18" spans="1:13" s="7" customFormat="1" x14ac:dyDescent="0.45">
      <c r="A18" s="113"/>
      <c r="B18" s="27"/>
      <c r="C18" s="142" t="s">
        <v>62</v>
      </c>
    </row>
    <row r="19" spans="1:13" x14ac:dyDescent="0.45">
      <c r="A19" s="113"/>
    </row>
    <row r="20" spans="1:13" x14ac:dyDescent="0.45">
      <c r="A20" s="113"/>
    </row>
    <row r="21" spans="1:13" s="123" customFormat="1" ht="25.05" customHeight="1" x14ac:dyDescent="0.45">
      <c r="A21" s="113"/>
      <c r="B21" s="315" t="s">
        <v>148</v>
      </c>
      <c r="C21" s="315"/>
      <c r="D21" s="315"/>
      <c r="E21" s="315"/>
      <c r="F21" s="315"/>
      <c r="G21" s="315"/>
      <c r="H21" s="315"/>
      <c r="I21" s="315"/>
      <c r="J21" s="315"/>
      <c r="K21" s="315"/>
    </row>
    <row r="22" spans="1:13" x14ac:dyDescent="0.45">
      <c r="A22" s="113"/>
    </row>
    <row r="23" spans="1:13" s="63" customFormat="1" ht="20" customHeight="1" x14ac:dyDescent="0.45">
      <c r="A23" s="113">
        <v>6</v>
      </c>
      <c r="B23" s="73" t="s">
        <v>139</v>
      </c>
      <c r="C23" s="70">
        <v>0.3</v>
      </c>
      <c r="D23" s="317" t="s">
        <v>173</v>
      </c>
      <c r="E23" s="318"/>
      <c r="F23" s="319">
        <f>1-$C$23</f>
        <v>0.7</v>
      </c>
      <c r="G23" s="319"/>
      <c r="H23" s="111" t="s">
        <v>174</v>
      </c>
      <c r="I23" s="111"/>
      <c r="J23" s="111"/>
      <c r="L23" s="69"/>
      <c r="M23" s="72"/>
    </row>
    <row r="24" spans="1:13" s="7" customFormat="1" x14ac:dyDescent="0.45">
      <c r="A24" s="113"/>
      <c r="B24" s="27"/>
      <c r="C24" s="142" t="s">
        <v>62</v>
      </c>
      <c r="F24" s="316" t="s">
        <v>146</v>
      </c>
      <c r="G24" s="316"/>
    </row>
    <row r="25" spans="1:13" x14ac:dyDescent="0.45">
      <c r="A25" s="113"/>
    </row>
    <row r="26" spans="1:13" s="63" customFormat="1" ht="20" customHeight="1" x14ac:dyDescent="0.45">
      <c r="A26" s="113">
        <v>7</v>
      </c>
      <c r="B26" s="73" t="s">
        <v>139</v>
      </c>
      <c r="C26" s="70">
        <v>0</v>
      </c>
      <c r="D26" s="318" t="s">
        <v>175</v>
      </c>
      <c r="E26" s="318"/>
      <c r="F26" s="318"/>
      <c r="G26" s="318"/>
      <c r="H26" s="319">
        <f>1-$C$26</f>
        <v>1</v>
      </c>
      <c r="I26" s="319"/>
      <c r="J26" s="111" t="s">
        <v>174</v>
      </c>
      <c r="L26" s="69"/>
      <c r="M26" s="72"/>
    </row>
    <row r="27" spans="1:13" s="7" customFormat="1" x14ac:dyDescent="0.45">
      <c r="A27" s="113"/>
      <c r="B27" s="27"/>
      <c r="C27" s="142" t="s">
        <v>62</v>
      </c>
      <c r="G27" s="122"/>
      <c r="H27" s="316" t="s">
        <v>146</v>
      </c>
      <c r="I27" s="316"/>
    </row>
    <row r="28" spans="1:13" x14ac:dyDescent="0.45">
      <c r="A28" s="113"/>
    </row>
    <row r="29" spans="1:13" s="63" customFormat="1" ht="20" customHeight="1" x14ac:dyDescent="0.45">
      <c r="A29" s="113">
        <v>8</v>
      </c>
      <c r="B29" s="73" t="s">
        <v>139</v>
      </c>
      <c r="C29" s="70">
        <v>0</v>
      </c>
      <c r="D29" s="317" t="s">
        <v>176</v>
      </c>
      <c r="E29" s="318"/>
      <c r="F29" s="319">
        <f>1-$C$29</f>
        <v>1</v>
      </c>
      <c r="G29" s="319"/>
      <c r="H29" s="111" t="s">
        <v>174</v>
      </c>
      <c r="I29" s="111"/>
      <c r="J29" s="111"/>
      <c r="L29" s="69"/>
      <c r="M29" s="72"/>
    </row>
    <row r="30" spans="1:13" s="7" customFormat="1" x14ac:dyDescent="0.45">
      <c r="A30" s="113"/>
      <c r="B30" s="27"/>
      <c r="C30" s="142" t="s">
        <v>62</v>
      </c>
      <c r="F30" s="316" t="s">
        <v>146</v>
      </c>
      <c r="G30" s="316"/>
    </row>
    <row r="31" spans="1:13" x14ac:dyDescent="0.45">
      <c r="A31" s="113"/>
    </row>
    <row r="32" spans="1:13" s="63" customFormat="1" ht="20" customHeight="1" x14ac:dyDescent="0.45">
      <c r="A32" s="113">
        <v>9</v>
      </c>
      <c r="B32" s="73" t="s">
        <v>139</v>
      </c>
      <c r="C32" s="70">
        <v>0</v>
      </c>
      <c r="D32" s="317" t="s">
        <v>177</v>
      </c>
      <c r="E32" s="318"/>
      <c r="F32" s="319">
        <f>1-$C$32</f>
        <v>1</v>
      </c>
      <c r="G32" s="319"/>
      <c r="H32" s="111" t="s">
        <v>174</v>
      </c>
      <c r="I32" s="111"/>
      <c r="J32" s="111"/>
      <c r="L32" s="69"/>
      <c r="M32" s="72"/>
    </row>
    <row r="33" spans="1:13" s="7" customFormat="1" x14ac:dyDescent="0.45">
      <c r="A33" s="113"/>
      <c r="B33" s="27"/>
      <c r="C33" s="142" t="s">
        <v>62</v>
      </c>
      <c r="F33" s="316" t="s">
        <v>146</v>
      </c>
      <c r="G33" s="316"/>
    </row>
    <row r="34" spans="1:13" x14ac:dyDescent="0.45">
      <c r="A34" s="113"/>
    </row>
    <row r="35" spans="1:13" s="63" customFormat="1" ht="20" customHeight="1" x14ac:dyDescent="0.45">
      <c r="A35" s="113">
        <v>10</v>
      </c>
      <c r="B35" s="73" t="s">
        <v>139</v>
      </c>
      <c r="C35" s="70">
        <v>0</v>
      </c>
      <c r="D35" s="317" t="s">
        <v>149</v>
      </c>
      <c r="E35" s="318"/>
      <c r="F35" s="320"/>
      <c r="G35" s="319">
        <f>1-$C$35</f>
        <v>1</v>
      </c>
      <c r="H35" s="319"/>
      <c r="I35" s="111" t="s">
        <v>92</v>
      </c>
      <c r="J35" s="119"/>
      <c r="L35" s="69"/>
      <c r="M35" s="72"/>
    </row>
    <row r="36" spans="1:13" s="7" customFormat="1" x14ac:dyDescent="0.45">
      <c r="A36" s="113"/>
      <c r="B36" s="27"/>
      <c r="C36" s="142" t="s">
        <v>62</v>
      </c>
      <c r="G36" s="323" t="s">
        <v>146</v>
      </c>
      <c r="H36" s="323"/>
      <c r="I36" s="121"/>
      <c r="J36" s="121"/>
    </row>
    <row r="37" spans="1:13" s="7" customFormat="1" x14ac:dyDescent="0.45">
      <c r="A37" s="113"/>
      <c r="C37" s="27"/>
      <c r="D37" s="27"/>
    </row>
    <row r="38" spans="1:13" s="63" customFormat="1" ht="20" customHeight="1" x14ac:dyDescent="0.45">
      <c r="A38" s="113">
        <v>11</v>
      </c>
      <c r="B38" s="73" t="s">
        <v>139</v>
      </c>
      <c r="C38" s="70">
        <v>0.9</v>
      </c>
      <c r="D38" s="317" t="s">
        <v>144</v>
      </c>
      <c r="E38" s="318"/>
      <c r="F38" s="318"/>
      <c r="G38" s="318"/>
      <c r="H38" s="320"/>
      <c r="I38" s="319">
        <f>1-$C$38</f>
        <v>9.9999999999999978E-2</v>
      </c>
      <c r="J38" s="319"/>
      <c r="K38" s="110" t="s">
        <v>103</v>
      </c>
      <c r="L38" s="69"/>
    </row>
    <row r="39" spans="1:13" s="7" customFormat="1" x14ac:dyDescent="0.45">
      <c r="A39" s="113"/>
      <c r="B39" s="27"/>
      <c r="C39" s="142" t="s">
        <v>62</v>
      </c>
      <c r="I39" s="321" t="s">
        <v>146</v>
      </c>
      <c r="J39" s="321"/>
    </row>
    <row r="40" spans="1:13" s="7" customFormat="1" x14ac:dyDescent="0.45">
      <c r="A40" s="113"/>
      <c r="C40" s="27"/>
      <c r="D40" s="27"/>
      <c r="M40" s="72"/>
    </row>
    <row r="41" spans="1:13" ht="20" customHeight="1" x14ac:dyDescent="0.45">
      <c r="A41" s="113">
        <v>12</v>
      </c>
      <c r="B41" s="73" t="s">
        <v>139</v>
      </c>
      <c r="C41" s="70">
        <v>1</v>
      </c>
      <c r="D41" s="317" t="s">
        <v>124</v>
      </c>
      <c r="E41" s="318"/>
      <c r="F41" s="318"/>
      <c r="G41" s="319">
        <f>1-$C$41</f>
        <v>0</v>
      </c>
      <c r="H41" s="319"/>
      <c r="I41" s="111" t="s">
        <v>145</v>
      </c>
      <c r="J41" s="119"/>
      <c r="L41" s="69"/>
    </row>
    <row r="42" spans="1:13" x14ac:dyDescent="0.45">
      <c r="C42" s="142" t="s">
        <v>62</v>
      </c>
      <c r="G42" s="316" t="s">
        <v>146</v>
      </c>
      <c r="H42" s="316"/>
      <c r="I42" s="121"/>
      <c r="J42" s="121"/>
    </row>
    <row r="45" spans="1:13" s="123" customFormat="1" ht="25.05" customHeight="1" x14ac:dyDescent="0.45">
      <c r="A45" s="113"/>
      <c r="B45" s="315" t="s">
        <v>150</v>
      </c>
      <c r="C45" s="315"/>
      <c r="D45" s="315"/>
      <c r="E45" s="315"/>
      <c r="F45" s="315"/>
      <c r="G45" s="315"/>
      <c r="H45" s="315"/>
      <c r="I45" s="315"/>
      <c r="J45" s="315"/>
      <c r="K45" s="315"/>
    </row>
    <row r="46" spans="1:13" x14ac:dyDescent="0.45">
      <c r="A46" s="113"/>
    </row>
    <row r="47" spans="1:13" s="63" customFormat="1" ht="20" customHeight="1" x14ac:dyDescent="0.45">
      <c r="A47" s="113">
        <v>13</v>
      </c>
      <c r="B47" s="73" t="s">
        <v>151</v>
      </c>
      <c r="C47" s="70">
        <v>0</v>
      </c>
      <c r="D47" s="110" t="s">
        <v>165</v>
      </c>
      <c r="E47" s="71"/>
      <c r="F47" s="71"/>
      <c r="G47"/>
      <c r="H47"/>
      <c r="I47"/>
      <c r="J47" s="111"/>
      <c r="L47" s="69"/>
      <c r="M47" s="72"/>
    </row>
    <row r="48" spans="1:13" s="7" customFormat="1" x14ac:dyDescent="0.45">
      <c r="A48" s="113"/>
      <c r="B48" s="27"/>
      <c r="C48" s="143" t="s">
        <v>62</v>
      </c>
      <c r="D48" s="84" t="s">
        <v>342</v>
      </c>
      <c r="F48"/>
      <c r="G48"/>
      <c r="H48"/>
      <c r="I48"/>
    </row>
    <row r="49" spans="1:13" x14ac:dyDescent="0.45">
      <c r="A49" s="113"/>
    </row>
    <row r="50" spans="1:13" s="63" customFormat="1" ht="20" customHeight="1" x14ac:dyDescent="0.45">
      <c r="A50" s="113">
        <v>14</v>
      </c>
      <c r="B50" s="73" t="s">
        <v>151</v>
      </c>
      <c r="C50" s="70">
        <v>0</v>
      </c>
      <c r="D50" s="111" t="s">
        <v>164</v>
      </c>
      <c r="E50" s="71"/>
      <c r="F50" s="71"/>
      <c r="G50" s="71"/>
      <c r="H50"/>
      <c r="I50"/>
      <c r="J50"/>
      <c r="L50" s="69"/>
      <c r="M50" s="72"/>
    </row>
    <row r="51" spans="1:13" s="7" customFormat="1" x14ac:dyDescent="0.45">
      <c r="A51" s="113"/>
      <c r="B51" s="27"/>
      <c r="C51" s="143" t="s">
        <v>62</v>
      </c>
      <c r="D51" s="84" t="s">
        <v>343</v>
      </c>
      <c r="G51" s="122"/>
      <c r="H51"/>
      <c r="I51"/>
      <c r="J51"/>
    </row>
    <row r="52" spans="1:13" x14ac:dyDescent="0.45">
      <c r="A52" s="113"/>
    </row>
    <row r="53" spans="1:13" s="63" customFormat="1" ht="20" customHeight="1" x14ac:dyDescent="0.45">
      <c r="A53" s="113">
        <v>15</v>
      </c>
      <c r="B53" s="73" t="s">
        <v>151</v>
      </c>
      <c r="C53" s="70">
        <v>0</v>
      </c>
      <c r="D53" s="110" t="s">
        <v>166</v>
      </c>
      <c r="E53" s="71"/>
      <c r="F53"/>
      <c r="G53"/>
      <c r="H53"/>
      <c r="I53" s="111"/>
      <c r="J53" s="111"/>
      <c r="L53" s="69"/>
      <c r="M53" s="72"/>
    </row>
    <row r="54" spans="1:13" s="7" customFormat="1" x14ac:dyDescent="0.45">
      <c r="A54" s="113"/>
      <c r="B54" s="27"/>
      <c r="C54" s="143" t="s">
        <v>62</v>
      </c>
      <c r="D54" s="84" t="s">
        <v>344</v>
      </c>
      <c r="F54"/>
      <c r="G54"/>
      <c r="H54"/>
    </row>
  </sheetData>
  <mergeCells count="25">
    <mergeCell ref="F23:G23"/>
    <mergeCell ref="G41:H41"/>
    <mergeCell ref="F24:G24"/>
    <mergeCell ref="G35:H35"/>
    <mergeCell ref="G36:H36"/>
    <mergeCell ref="D35:F35"/>
    <mergeCell ref="D26:G26"/>
    <mergeCell ref="H26:I26"/>
    <mergeCell ref="H27:I27"/>
    <mergeCell ref="B45:K45"/>
    <mergeCell ref="B21:K21"/>
    <mergeCell ref="G42:H42"/>
    <mergeCell ref="B3:E3"/>
    <mergeCell ref="D29:E29"/>
    <mergeCell ref="F29:G29"/>
    <mergeCell ref="F30:G30"/>
    <mergeCell ref="D32:E32"/>
    <mergeCell ref="D23:E23"/>
    <mergeCell ref="D41:F41"/>
    <mergeCell ref="D38:H38"/>
    <mergeCell ref="F32:G32"/>
    <mergeCell ref="F33:G33"/>
    <mergeCell ref="I38:J38"/>
    <mergeCell ref="I39:J39"/>
    <mergeCell ref="F3:K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15097-1473-4DCF-9AE5-E25FF395CF16}">
  <sheetPr>
    <tabColor rgb="FFFFFF00"/>
  </sheetPr>
  <dimension ref="A1:P79"/>
  <sheetViews>
    <sheetView showGridLines="0" zoomScale="90" zoomScaleNormal="90" workbookViewId="0">
      <selection activeCell="B20" sqref="B20:B21"/>
    </sheetView>
  </sheetViews>
  <sheetFormatPr defaultColWidth="8.796875" defaultRowHeight="14.25" x14ac:dyDescent="0.45"/>
  <cols>
    <col min="1" max="1" width="32.6640625" style="7" customWidth="1"/>
    <col min="2" max="2" width="18" style="7" bestFit="1" customWidth="1"/>
    <col min="3" max="3" width="18" style="7" customWidth="1"/>
    <col min="4" max="5" width="18" style="7" bestFit="1" customWidth="1"/>
    <col min="6" max="9" width="18" style="7" customWidth="1"/>
    <col min="10" max="16" width="18" style="7" bestFit="1" customWidth="1"/>
    <col min="17" max="17" width="8.6640625" style="7" customWidth="1"/>
    <col min="18" max="16384" width="8.796875" style="7"/>
  </cols>
  <sheetData>
    <row r="1" spans="1:16" x14ac:dyDescent="0.45">
      <c r="A1" s="59" t="s">
        <v>458</v>
      </c>
      <c r="B1" s="27"/>
    </row>
    <row r="2" spans="1:16" ht="30" customHeight="1" x14ac:dyDescent="0.45">
      <c r="A2" s="146" t="s">
        <v>158</v>
      </c>
      <c r="B2" s="3"/>
      <c r="C2" s="3"/>
      <c r="D2" s="3"/>
      <c r="E2" s="3"/>
      <c r="F2" s="3"/>
      <c r="G2" s="27"/>
      <c r="H2" s="27"/>
    </row>
    <row r="3" spans="1:16" x14ac:dyDescent="0.45">
      <c r="A3" s="65" t="s">
        <v>69</v>
      </c>
      <c r="B3" s="328" t="s">
        <v>171</v>
      </c>
      <c r="C3" s="329"/>
      <c r="D3" s="329"/>
      <c r="E3" s="329"/>
      <c r="F3" s="329"/>
      <c r="G3" s="325" t="s">
        <v>93</v>
      </c>
      <c r="H3" s="325"/>
      <c r="I3" s="325"/>
      <c r="J3" s="325"/>
      <c r="K3" s="325"/>
      <c r="L3" s="325"/>
      <c r="M3" s="325"/>
      <c r="N3" s="325"/>
      <c r="O3" s="325"/>
      <c r="P3" s="325"/>
    </row>
    <row r="4" spans="1:16" x14ac:dyDescent="0.45">
      <c r="A4" s="25" t="s">
        <v>22</v>
      </c>
      <c r="B4" s="8" t="s">
        <v>35</v>
      </c>
      <c r="C4" s="8" t="s">
        <v>36</v>
      </c>
      <c r="D4" s="8" t="s">
        <v>7</v>
      </c>
      <c r="E4" s="8" t="s">
        <v>37</v>
      </c>
      <c r="F4" s="8" t="s">
        <v>38</v>
      </c>
      <c r="G4" s="33" t="s">
        <v>41</v>
      </c>
      <c r="H4" s="8" t="s">
        <v>42</v>
      </c>
      <c r="I4" s="8" t="s">
        <v>43</v>
      </c>
      <c r="J4" s="8" t="s">
        <v>44</v>
      </c>
      <c r="K4" s="8" t="s">
        <v>45</v>
      </c>
      <c r="L4" s="8" t="s">
        <v>59</v>
      </c>
      <c r="M4" s="8" t="s">
        <v>60</v>
      </c>
      <c r="N4" s="8" t="s">
        <v>70</v>
      </c>
      <c r="O4" s="8" t="s">
        <v>71</v>
      </c>
      <c r="P4" s="8" t="s">
        <v>72</v>
      </c>
    </row>
    <row r="5" spans="1:16" s="28" customFormat="1" ht="14.55" customHeight="1" x14ac:dyDescent="0.35">
      <c r="A5" s="8" t="s">
        <v>169</v>
      </c>
      <c r="B5" s="29">
        <f>((('Input - Activity and Demand'!B$6*(1-'Input - Modelling Variables'!$C$11)*'Input - Modelling Variables'!$F$23*'Input - Modelling Variables'!$C$14*(1-'Input - Modelling Variables'!$C$47))+(('Input - Activity and Demand'!B$6*(1-'Input - Modelling Variables'!$C$11))*'Input - Modelling Variables'!$H$26*('Input - Modelling Variables'!$E$14-'Input - Modelling Variables'!$C$17))+('Input - Activity and Demand'!B$6*(1-'Input - Modelling Variables'!$C$11)*'Input - Modelling Variables'!$F$29*'Input - Modelling Variables'!$C$17*(1-'Input - Modelling Variables'!$C$50)))*'Input - Throughput'!$D$14)/'Input - Capacity'!$C$15</f>
        <v>85.449092343749996</v>
      </c>
      <c r="C5" s="29">
        <f>((('Input - Activity and Demand'!C$6*(1-'Input - Modelling Variables'!$C$11)*'Input - Modelling Variables'!$F$23*'Input - Modelling Variables'!$C$14*(1-'Input - Modelling Variables'!$C$47))+(('Input - Activity and Demand'!C$6*(1-'Input - Modelling Variables'!$C$11))*'Input - Modelling Variables'!$H$26*('Input - Modelling Variables'!$E$14-'Input - Modelling Variables'!$C$17))+('Input - Activity and Demand'!C$6*(1-'Input - Modelling Variables'!$C$11)*'Input - Modelling Variables'!$F$29*'Input - Modelling Variables'!$C$17*(1-'Input - Modelling Variables'!$C$50)))*'Input - Throughput'!$D$14)/'Input - Capacity'!$C$15</f>
        <v>85.389188437499996</v>
      </c>
      <c r="D5" s="29">
        <f>((('Input - Activity and Demand'!D$6*(1-'Input - Modelling Variables'!$C$11)*'Input - Modelling Variables'!$F$23*'Input - Modelling Variables'!$C$14*(1-'Input - Modelling Variables'!$C$47))+(('Input - Activity and Demand'!D$6*(1-'Input - Modelling Variables'!$C$11))*'Input - Modelling Variables'!$H$26*('Input - Modelling Variables'!$E$14-'Input - Modelling Variables'!$C$17))+('Input - Activity and Demand'!D$6*(1-'Input - Modelling Variables'!$C$11)*'Input - Modelling Variables'!$F$29*'Input - Modelling Variables'!$C$17*(1-'Input - Modelling Variables'!$C$50)))*'Input - Throughput'!$D$14)/'Input - Capacity'!$C$15</f>
        <v>83.628052874999995</v>
      </c>
      <c r="E5" s="29">
        <f>((('Input - Activity and Demand'!E$6*(1-'Input - Modelling Variables'!$C$11)*'Input - Modelling Variables'!$F$23*'Input - Modelling Variables'!$C$14*(1-'Input - Modelling Variables'!$C$47))+(('Input - Activity and Demand'!E$6*(1-'Input - Modelling Variables'!$C$11))*'Input - Modelling Variables'!$H$26*('Input - Modelling Variables'!$E$14-'Input - Modelling Variables'!$C$17))+('Input - Activity and Demand'!E$6*(1-'Input - Modelling Variables'!$C$11)*'Input - Modelling Variables'!$F$29*'Input - Modelling Variables'!$C$17*(1-'Input - Modelling Variables'!$C$50)))*'Input - Throughput'!$D$14)/'Input - Capacity'!$C$15</f>
        <v>61.178857781249988</v>
      </c>
      <c r="F5" s="29">
        <f>((('Input - Activity and Demand'!F$6*(1-'Input - Modelling Variables'!$C$11)*'Input - Modelling Variables'!$F$23*'Input - Modelling Variables'!$C$14*(1-'Input - Modelling Variables'!$C$47))+(('Input - Activity and Demand'!F$6*(1-'Input - Modelling Variables'!$C$11))*'Input - Modelling Variables'!$H$26*('Input - Modelling Variables'!$E$14-'Input - Modelling Variables'!$C$17))+('Input - Activity and Demand'!F$6*(1-'Input - Modelling Variables'!$C$11)*'Input - Modelling Variables'!$F$29*'Input - Modelling Variables'!$C$17*(1-'Input - Modelling Variables'!$C$50)))*'Input - Throughput'!$D$14)/'Input - Capacity'!$C$15</f>
        <v>73.963372687499984</v>
      </c>
      <c r="G5" s="29">
        <f>((('Input - Activity and Demand'!G$20*(1-'Input - Modelling Variables'!$C$11)*'Input - Modelling Variables'!$F$23*'Input - Modelling Variables'!$C$14*(1-'Input - Modelling Variables'!$C$47))+(('Input - Activity and Demand'!G$20*(1-'Input - Modelling Variables'!$C$11))*'Input - Modelling Variables'!$H$26*('Input - Modelling Variables'!$E$14-'Input - Modelling Variables'!$C$17))+('Input - Activity and Demand'!G$20*(1-'Input - Modelling Variables'!$C$11)*'Input - Modelling Variables'!$F$29*'Input - Modelling Variables'!$C$17*(1-'Input - Modelling Variables'!$C$50)))*'Input - Throughput'!$D$14)/'Input - Capacity'!$C$15</f>
        <v>74.703006414374997</v>
      </c>
      <c r="H5" s="29">
        <f>((('Input - Activity and Demand'!H$20*(1-'Input - Modelling Variables'!$C$11)*'Input - Modelling Variables'!$F$23*'Input - Modelling Variables'!$C$14*(1-'Input - Modelling Variables'!$C$47))+(('Input - Activity and Demand'!H$20*(1-'Input - Modelling Variables'!$C$11))*'Input - Modelling Variables'!$H$26*('Input - Modelling Variables'!$E$14-'Input - Modelling Variables'!$C$17))+('Input - Activity and Demand'!H$20*(1-'Input - Modelling Variables'!$C$11)*'Input - Modelling Variables'!$F$29*'Input - Modelling Variables'!$C$17*(1-'Input - Modelling Variables'!$C$50)))*'Input - Throughput'!$D$14)/'Input - Capacity'!$C$15</f>
        <v>75.45003647851874</v>
      </c>
      <c r="I5" s="29">
        <f>((('Input - Activity and Demand'!I$20*(1-'Input - Modelling Variables'!$C$11)*'Input - Modelling Variables'!$F$23*'Input - Modelling Variables'!$C$14*(1-'Input - Modelling Variables'!$C$47))+(('Input - Activity and Demand'!I$20*(1-'Input - Modelling Variables'!$C$11))*'Input - Modelling Variables'!$H$26*('Input - Modelling Variables'!$E$14-'Input - Modelling Variables'!$C$17))+('Input - Activity and Demand'!I$20*(1-'Input - Modelling Variables'!$C$11)*'Input - Modelling Variables'!$F$29*'Input - Modelling Variables'!$C$17*(1-'Input - Modelling Variables'!$C$50)))*'Input - Throughput'!$D$14)/'Input - Capacity'!$C$15</f>
        <v>76.204536843303941</v>
      </c>
      <c r="J5" s="29">
        <f>((('Input - Activity and Demand'!J$20*(1-'Input - Modelling Variables'!$C$11)*'Input - Modelling Variables'!$F$23*'Input - Modelling Variables'!$C$14*(1-'Input - Modelling Variables'!$C$47))+(('Input - Activity and Demand'!J$20*(1-'Input - Modelling Variables'!$C$11))*'Input - Modelling Variables'!$H$26*('Input - Modelling Variables'!$E$14-'Input - Modelling Variables'!$C$17))+('Input - Activity and Demand'!J$20*(1-'Input - Modelling Variables'!$C$11)*'Input - Modelling Variables'!$F$29*'Input - Modelling Variables'!$C$17*(1-'Input - Modelling Variables'!$C$50)))*'Input - Throughput'!$D$14)/'Input - Capacity'!$C$15</f>
        <v>76.966582211736963</v>
      </c>
      <c r="K5" s="29">
        <f>((('Input - Activity and Demand'!K$20*(1-'Input - Modelling Variables'!$C$11)*'Input - Modelling Variables'!$F$23*'Input - Modelling Variables'!$C$14*(1-'Input - Modelling Variables'!$C$47))+(('Input - Activity and Demand'!K$20*(1-'Input - Modelling Variables'!$C$11))*'Input - Modelling Variables'!$H$26*('Input - Modelling Variables'!$E$14-'Input - Modelling Variables'!$C$17))+('Input - Activity and Demand'!K$20*(1-'Input - Modelling Variables'!$C$11)*'Input - Modelling Variables'!$F$29*'Input - Modelling Variables'!$C$17*(1-'Input - Modelling Variables'!$C$50)))*'Input - Throughput'!$D$14)/'Input - Capacity'!$C$15</f>
        <v>77.736248033854338</v>
      </c>
      <c r="L5" s="29">
        <f>((('Input - Activity and Demand'!L$20*(1-'Input - Modelling Variables'!$C$11)*'Input - Modelling Variables'!$F$23*'Input - Modelling Variables'!$C$14*(1-'Input - Modelling Variables'!$C$47))+(('Input - Activity and Demand'!L$20*(1-'Input - Modelling Variables'!$C$11))*'Input - Modelling Variables'!$H$26*('Input - Modelling Variables'!$E$14-'Input - Modelling Variables'!$C$17))+('Input - Activity and Demand'!L$20*(1-'Input - Modelling Variables'!$C$11)*'Input - Modelling Variables'!$F$29*'Input - Modelling Variables'!$C$17*(1-'Input - Modelling Variables'!$C$50)))*'Input - Throughput'!$D$14)/'Input - Capacity'!$C$15</f>
        <v>78.513610514192877</v>
      </c>
      <c r="M5" s="29">
        <f>((('Input - Activity and Demand'!M$20*(1-'Input - Modelling Variables'!$C$11)*'Input - Modelling Variables'!$F$23*'Input - Modelling Variables'!$C$14*(1-'Input - Modelling Variables'!$C$47))+(('Input - Activity and Demand'!M$20*(1-'Input - Modelling Variables'!$C$11))*'Input - Modelling Variables'!$H$26*('Input - Modelling Variables'!$E$14-'Input - Modelling Variables'!$C$17))+('Input - Activity and Demand'!M$20*(1-'Input - Modelling Variables'!$C$11)*'Input - Modelling Variables'!$F$29*'Input - Modelling Variables'!$C$17*(1-'Input - Modelling Variables'!$C$50)))*'Input - Throughput'!$D$14)/'Input - Capacity'!$C$15</f>
        <v>79.298746619334807</v>
      </c>
      <c r="N5" s="29">
        <f>((('Input - Activity and Demand'!N$20*(1-'Input - Modelling Variables'!$C$11)*'Input - Modelling Variables'!$F$23*'Input - Modelling Variables'!$C$14*(1-'Input - Modelling Variables'!$C$47))+(('Input - Activity and Demand'!N$20*(1-'Input - Modelling Variables'!$C$11))*'Input - Modelling Variables'!$H$26*('Input - Modelling Variables'!$E$14-'Input - Modelling Variables'!$C$17))+('Input - Activity and Demand'!N$20*(1-'Input - Modelling Variables'!$C$11)*'Input - Modelling Variables'!$F$29*'Input - Modelling Variables'!$C$17*(1-'Input - Modelling Variables'!$C$50)))*'Input - Throughput'!$D$14)/'Input - Capacity'!$C$15</f>
        <v>80.091734085528159</v>
      </c>
      <c r="O5" s="29">
        <f>((('Input - Activity and Demand'!O$20*(1-'Input - Modelling Variables'!$C$11)*'Input - Modelling Variables'!$F$23*'Input - Modelling Variables'!$C$14*(1-'Input - Modelling Variables'!$C$47))+(('Input - Activity and Demand'!O$20*(1-'Input - Modelling Variables'!$C$11))*'Input - Modelling Variables'!$H$26*('Input - Modelling Variables'!$E$14-'Input - Modelling Variables'!$C$17))+('Input - Activity and Demand'!O$20*(1-'Input - Modelling Variables'!$C$11)*'Input - Modelling Variables'!$F$29*'Input - Modelling Variables'!$C$17*(1-'Input - Modelling Variables'!$C$50)))*'Input - Throughput'!$D$14)/'Input - Capacity'!$C$15</f>
        <v>80.892651426383424</v>
      </c>
      <c r="P5" s="29">
        <f>((('Input - Activity and Demand'!P$20*(1-'Input - Modelling Variables'!$C$11)*'Input - Modelling Variables'!$F$23*'Input - Modelling Variables'!$C$14*(1-'Input - Modelling Variables'!$C$47))+(('Input - Activity and Demand'!P$20*(1-'Input - Modelling Variables'!$C$11))*'Input - Modelling Variables'!$H$26*('Input - Modelling Variables'!$E$14-'Input - Modelling Variables'!$C$17))+('Input - Activity and Demand'!P$20*(1-'Input - Modelling Variables'!$C$11)*'Input - Modelling Variables'!$F$29*'Input - Modelling Variables'!$C$17*(1-'Input - Modelling Variables'!$C$50)))*'Input - Throughput'!$D$14)/'Input - Capacity'!$C$15</f>
        <v>81.701577940647283</v>
      </c>
    </row>
    <row r="6" spans="1:16" s="3" customFormat="1" ht="14.55" customHeight="1" x14ac:dyDescent="0.35">
      <c r="A6" s="8" t="s">
        <v>18</v>
      </c>
      <c r="B6" s="29">
        <f>(('Input - Activity and Demand'!B$7*'Input - Modelling Variables'!$F$32*(1-'Input - Modelling Variables'!$C$53))*'Input - Throughput'!$D$7)/'Input - Capacity'!$C$15</f>
        <v>1.0194791666666667</v>
      </c>
      <c r="C6" s="29">
        <f>(('Input - Activity and Demand'!C$7*'Input - Modelling Variables'!$F$32*(1-'Input - Modelling Variables'!$C$53))*'Input - Throughput'!$D$7)/'Input - Capacity'!$C$15</f>
        <v>1.7407291666666667</v>
      </c>
      <c r="D6" s="29">
        <f>(('Input - Activity and Demand'!D$7*'Input - Modelling Variables'!$F$32*(1-'Input - Modelling Variables'!$C$53))*'Input - Throughput'!$D$7)/'Input - Capacity'!$C$15</f>
        <v>1.46359375</v>
      </c>
      <c r="E6" s="29">
        <f>(('Input - Activity and Demand'!E$7*'Input - Modelling Variables'!$F$32*(1-'Input - Modelling Variables'!$C$53))*'Input - Throughput'!$D$7)/'Input - Capacity'!$C$15</f>
        <v>0.54182291666666671</v>
      </c>
      <c r="F6" s="29">
        <f>(('Input - Activity and Demand'!F$7*'Input - Modelling Variables'!$F$32*(1-'Input - Modelling Variables'!$C$53))*'Input - Throughput'!$D$7)/'Input - Capacity'!$C$15</f>
        <v>0.5</v>
      </c>
      <c r="G6" s="29">
        <f>(('Input - Activity and Demand'!G$21*'Input - Modelling Variables'!$F$32*(1-'Input - Modelling Variables'!$C$53))*'Input - Throughput'!$D$7)/'Input - Capacity'!$C$15</f>
        <v>0.505</v>
      </c>
      <c r="H6" s="29">
        <f>(('Input - Activity and Demand'!H$21*'Input - Modelling Variables'!$F$32*(1-'Input - Modelling Variables'!$C$53))*'Input - Throughput'!$D$7)/'Input - Capacity'!$C$15</f>
        <v>0.51005</v>
      </c>
      <c r="I6" s="29">
        <f>(('Input - Activity and Demand'!I$21*'Input - Modelling Variables'!$F$32*(1-'Input - Modelling Variables'!$C$53))*'Input - Throughput'!$D$7)/'Input - Capacity'!$C$15</f>
        <v>0.51515049999999984</v>
      </c>
      <c r="J6" s="29">
        <f>(('Input - Activity and Demand'!J$21*'Input - Modelling Variables'!$F$32*(1-'Input - Modelling Variables'!$C$53))*'Input - Throughput'!$D$7)/'Input - Capacity'!$C$15</f>
        <v>0.52030200500000001</v>
      </c>
      <c r="K6" s="29">
        <f>(('Input - Activity and Demand'!K$21*'Input - Modelling Variables'!$F$32*(1-'Input - Modelling Variables'!$C$53))*'Input - Throughput'!$D$7)/'Input - Capacity'!$C$15</f>
        <v>0.52550502504999996</v>
      </c>
      <c r="L6" s="29">
        <f>(('Input - Activity and Demand'!L$21*'Input - Modelling Variables'!$F$32*(1-'Input - Modelling Variables'!$C$53))*'Input - Throughput'!$D$7)/'Input - Capacity'!$C$15</f>
        <v>0.53076007530049996</v>
      </c>
      <c r="M6" s="29">
        <f>(('Input - Activity and Demand'!M$21*'Input - Modelling Variables'!$F$32*(1-'Input - Modelling Variables'!$C$53))*'Input - Throughput'!$D$7)/'Input - Capacity'!$C$15</f>
        <v>0.53606767605350503</v>
      </c>
      <c r="N6" s="29">
        <f>(('Input - Activity and Demand'!N$21*'Input - Modelling Variables'!$F$32*(1-'Input - Modelling Variables'!$C$53))*'Input - Throughput'!$D$7)/'Input - Capacity'!$C$15</f>
        <v>0.54142835281404011</v>
      </c>
      <c r="O6" s="29">
        <f>(('Input - Activity and Demand'!O$21*'Input - Modelling Variables'!$F$32*(1-'Input - Modelling Variables'!$C$53))*'Input - Throughput'!$D$7)/'Input - Capacity'!$C$15</f>
        <v>0.54684263634218044</v>
      </c>
      <c r="P6" s="29">
        <f>(('Input - Activity and Demand'!P$21*'Input - Modelling Variables'!$F$32*(1-'Input - Modelling Variables'!$C$53))*'Input - Throughput'!$D$7)/'Input - Capacity'!$C$15</f>
        <v>0.55231106270560226</v>
      </c>
    </row>
    <row r="7" spans="1:16" s="3" customFormat="1" ht="14.55" customHeight="1" x14ac:dyDescent="0.35">
      <c r="A7" s="10" t="s">
        <v>116</v>
      </c>
      <c r="B7" s="29">
        <f>(('Input - Activity and Demand'!B$8*'Input - Modelling Variables'!$G$35)*'Input - Throughput'!$D$10)/'Input - Capacity'!$C$15</f>
        <v>14.316666666666666</v>
      </c>
      <c r="C7" s="29">
        <f>(('Input - Activity and Demand'!C$8*'Input - Modelling Variables'!$G$35)*'Input - Throughput'!$D$10)/'Input - Capacity'!$C$15</f>
        <v>14.135624999999999</v>
      </c>
      <c r="D7" s="29">
        <f>(('Input - Activity and Demand'!D$8*'Input - Modelling Variables'!$G$35)*'Input - Throughput'!$D$10)/'Input - Capacity'!$C$15</f>
        <v>13.712916666666667</v>
      </c>
      <c r="E7" s="29">
        <f>(('Input - Activity and Demand'!E$8*'Input - Modelling Variables'!$G$35)*'Input - Throughput'!$D$10)/'Input - Capacity'!$C$15</f>
        <v>11.994583333333333</v>
      </c>
      <c r="F7" s="29">
        <f>(('Input - Activity and Demand'!F$8*'Input - Modelling Variables'!$G$35)*'Input - Throughput'!$D$10)/'Input - Capacity'!$C$15</f>
        <v>12.882083333333334</v>
      </c>
      <c r="G7" s="29">
        <f>(('Input - Activity and Demand'!G$22*'Input - Modelling Variables'!$G$35)*'Input - Throughput'!$D$10)/'Input - Capacity'!$C$15</f>
        <v>13.010904166666664</v>
      </c>
      <c r="H7" s="29">
        <f>(('Input - Activity and Demand'!H$22*'Input - Modelling Variables'!$G$35)*'Input - Throughput'!$D$10)/'Input - Capacity'!$C$15</f>
        <v>13.141013208333332</v>
      </c>
      <c r="I7" s="29">
        <f>(('Input - Activity and Demand'!I$22*'Input - Modelling Variables'!$G$35)*'Input - Throughput'!$D$10)/'Input - Capacity'!$C$15</f>
        <v>13.272423340416665</v>
      </c>
      <c r="J7" s="29">
        <f>(('Input - Activity and Demand'!J$22*'Input - Modelling Variables'!$G$35)*'Input - Throughput'!$D$10)/'Input - Capacity'!$C$15</f>
        <v>13.405147573820832</v>
      </c>
      <c r="K7" s="29">
        <f>(('Input - Activity and Demand'!K$22*'Input - Modelling Variables'!$G$35)*'Input - Throughput'!$D$10)/'Input - Capacity'!$C$15</f>
        <v>13.53919904955904</v>
      </c>
      <c r="L7" s="29">
        <f>(('Input - Activity and Demand'!L$22*'Input - Modelling Variables'!$G$35)*'Input - Throughput'!$D$10)/'Input - Capacity'!$C$15</f>
        <v>13.674591040054629</v>
      </c>
      <c r="M7" s="29">
        <f>(('Input - Activity and Demand'!M$22*'Input - Modelling Variables'!$G$35)*'Input - Throughput'!$D$10)/'Input - Capacity'!$C$15</f>
        <v>13.811336950455177</v>
      </c>
      <c r="N7" s="29">
        <f>(('Input - Activity and Demand'!N$22*'Input - Modelling Variables'!$G$35)*'Input - Throughput'!$D$10)/'Input - Capacity'!$C$15</f>
        <v>13.949450319959727</v>
      </c>
      <c r="O7" s="29">
        <f>(('Input - Activity and Demand'!O$22*'Input - Modelling Variables'!$G$35)*'Input - Throughput'!$D$10)/'Input - Capacity'!$C$15</f>
        <v>14.088944823159325</v>
      </c>
      <c r="P7" s="29">
        <f>(('Input - Activity and Demand'!P$22*'Input - Modelling Variables'!$G$35)*'Input - Throughput'!$D$10)/'Input - Capacity'!$C$15</f>
        <v>14.229834271390915</v>
      </c>
    </row>
    <row r="8" spans="1:16" s="28" customFormat="1" ht="14.55" customHeight="1" x14ac:dyDescent="0.35">
      <c r="A8" s="330" t="s">
        <v>52</v>
      </c>
      <c r="B8" s="257">
        <f>(('Input - Activity and Demand'!B$9*'Input - Modelling Variables'!$I$38)*'Input - Throughput'!$E$15)/'Input - Capacity'!$C$15</f>
        <v>22.811458333333327</v>
      </c>
      <c r="C8" s="257">
        <f>(('Input - Activity and Demand'!C$9*'Input - Modelling Variables'!$I$38)*'Input - Throughput'!$E$15)/'Input - Capacity'!$C$15</f>
        <v>22.82983333333333</v>
      </c>
      <c r="D8" s="257">
        <f>(('Input - Activity and Demand'!D$9*'Input - Modelling Variables'!$I$38)*'Input - Throughput'!$E$15)/'Input - Capacity'!$C$15</f>
        <v>22.318833333333327</v>
      </c>
      <c r="E8" s="257">
        <f>(('Input - Activity and Demand'!E$9*'Input - Modelling Variables'!$I$38)*'Input - Throughput'!$E$15)/'Input - Capacity'!$C$15</f>
        <v>16.808458333333327</v>
      </c>
      <c r="F8" s="257">
        <f>(('Input - Activity and Demand'!F$9*'Input - Modelling Variables'!$I$38)*'Input - Throughput'!$E$15)/'Input - Capacity'!$C$15</f>
        <v>18.732124999999996</v>
      </c>
      <c r="G8" s="29">
        <f>(('Input - Activity and Demand'!G$23*'Input - Modelling Variables'!$I$38)*'Input - Throughput'!$E$15)/'Input - Capacity'!$C$15</f>
        <v>19.481409999999997</v>
      </c>
      <c r="H8" s="29">
        <f>(('Input - Activity and Demand'!H$23*'Input - Modelling Variables'!$I$38)*'Input - Throughput'!$E$15)/'Input - Capacity'!$C$15</f>
        <v>20.260666399999998</v>
      </c>
      <c r="I8" s="29">
        <f>(('Input - Activity and Demand'!I$23*'Input - Modelling Variables'!$I$38)*'Input - Throughput'!$E$15)/'Input - Capacity'!$C$15</f>
        <v>21.071093055999999</v>
      </c>
      <c r="J8" s="29">
        <f>(('Input - Activity and Demand'!J$23*'Input - Modelling Variables'!$I$38)*'Input - Throughput'!$E$15)/'Input - Capacity'!$C$15</f>
        <v>21.913936778239997</v>
      </c>
      <c r="K8" s="29">
        <f>(('Input - Activity and Demand'!K$23*'Input - Modelling Variables'!$I$38)*'Input - Throughput'!$E$15)/'Input - Capacity'!$C$15</f>
        <v>22.790494249369601</v>
      </c>
      <c r="L8" s="29">
        <f>(('Input - Activity and Demand'!L$23*'Input - Modelling Variables'!$I$38)*'Input - Throughput'!$E$15)/'Input - Capacity'!$C$15</f>
        <v>23.702114019344386</v>
      </c>
      <c r="M8" s="29">
        <f>(('Input - Activity and Demand'!M$23*'Input - Modelling Variables'!$I$38)*'Input - Throughput'!$E$15)/'Input - Capacity'!$C$15</f>
        <v>24.650198580118165</v>
      </c>
      <c r="N8" s="29">
        <f>(('Input - Activity and Demand'!N$23*'Input - Modelling Variables'!$I$38)*'Input - Throughput'!$E$15)/'Input - Capacity'!$C$15</f>
        <v>25.636206523322887</v>
      </c>
      <c r="O8" s="29">
        <f>(('Input - Activity and Demand'!O$23*'Input - Modelling Variables'!$I$38)*'Input - Throughput'!$E$15)/'Input - Capacity'!$C$15</f>
        <v>26.661654784255802</v>
      </c>
      <c r="P8" s="29">
        <f>(('Input - Activity and Demand'!P$23*'Input - Modelling Variables'!$I$38)*'Input - Throughput'!$E$15)/'Input - Capacity'!$C$15</f>
        <v>27.728120975626037</v>
      </c>
    </row>
    <row r="9" spans="1:16" s="28" customFormat="1" ht="14.55" customHeight="1" x14ac:dyDescent="0.35">
      <c r="A9" s="331"/>
      <c r="B9" s="258"/>
      <c r="C9" s="258"/>
      <c r="D9" s="258"/>
      <c r="E9" s="258"/>
      <c r="F9" s="258"/>
      <c r="G9" s="29">
        <f>(('Input - Activity and Demand'!G$24*'Input - Modelling Variables'!$I$38)*'Input - Throughput'!$E$15)/'Input - Capacity'!$C$15</f>
        <v>19.856052499999997</v>
      </c>
      <c r="H9" s="29">
        <f>(('Input - Activity and Demand'!H$24*'Input - Modelling Variables'!$I$38)*'Input - Throughput'!$E$15)/'Input - Capacity'!$C$15</f>
        <v>21.047415649999994</v>
      </c>
      <c r="I9" s="29">
        <f>(('Input - Activity and Demand'!I$24*'Input - Modelling Variables'!$I$38)*'Input - Throughput'!$E$15)/'Input - Capacity'!$C$15</f>
        <v>22.310260588999999</v>
      </c>
      <c r="J9" s="29">
        <f>(('Input - Activity and Demand'!J$24*'Input - Modelling Variables'!$I$38)*'Input - Throughput'!$E$15)/'Input - Capacity'!$C$15</f>
        <v>23.648876224339997</v>
      </c>
      <c r="K9" s="29">
        <f>(('Input - Activity and Demand'!K$24*'Input - Modelling Variables'!$I$38)*'Input - Throughput'!$E$15)/'Input - Capacity'!$C$15</f>
        <v>25.067808797800399</v>
      </c>
      <c r="L9" s="29">
        <f>(('Input - Activity and Demand'!L$24*'Input - Modelling Variables'!$I$38)*'Input - Throughput'!$E$15)/'Input - Capacity'!$C$15</f>
        <v>26.571877325668421</v>
      </c>
      <c r="M9" s="29">
        <f>(('Input - Activity and Demand'!M$24*'Input - Modelling Variables'!$I$38)*'Input - Throughput'!$E$15)/'Input - Capacity'!$C$15</f>
        <v>28.16618996520852</v>
      </c>
      <c r="N9" s="29">
        <f>(('Input - Activity and Demand'!N$24*'Input - Modelling Variables'!$I$38)*'Input - Throughput'!$E$15)/'Input - Capacity'!$C$15</f>
        <v>29.856161363121039</v>
      </c>
      <c r="O9" s="29">
        <f>(('Input - Activity and Demand'!O$24*'Input - Modelling Variables'!$I$38)*'Input - Throughput'!$E$15)/'Input - Capacity'!$C$15</f>
        <v>31.647531044908298</v>
      </c>
      <c r="P9" s="29">
        <f>(('Input - Activity and Demand'!P$24*'Input - Modelling Variables'!$I$38)*'Input - Throughput'!$E$15)/'Input - Capacity'!$C$15</f>
        <v>33.546382907602798</v>
      </c>
    </row>
    <row r="10" spans="1:16" s="28" customFormat="1" ht="14.55" customHeight="1" x14ac:dyDescent="0.35">
      <c r="A10" s="77" t="s">
        <v>9</v>
      </c>
      <c r="B10" s="78">
        <f>('Input - Activity and Demand'!B$10*'Input - Throughput'!$D$13)/'Input - Capacity'!$C$15</f>
        <v>10.313541666666667</v>
      </c>
      <c r="C10" s="78">
        <f>('Input - Activity and Demand'!C$10*'Input - Throughput'!$D$13)/'Input - Capacity'!$C$15</f>
        <v>10.438124999999999</v>
      </c>
      <c r="D10" s="78">
        <f>('Input - Activity and Demand'!D$10*'Input - Throughput'!$D$13)/'Input - Capacity'!$C$15</f>
        <v>10.267291666666667</v>
      </c>
      <c r="E10" s="78">
        <f>('Input - Activity and Demand'!E$10*'Input - Throughput'!$D$13)/'Input - Capacity'!$C$15</f>
        <v>7.1735416666666669</v>
      </c>
      <c r="F10" s="78">
        <f>('Input - Activity and Demand'!F$10*'Input - Throughput'!$D$13)/'Input - Capacity'!$C$15</f>
        <v>7.6864583333333334</v>
      </c>
      <c r="G10" s="78">
        <f>('Input - Activity and Demand'!G$25*'Input - Throughput'!$D$13)/'Input - Capacity'!$C$15</f>
        <v>8.1476458333333337</v>
      </c>
      <c r="H10" s="78">
        <f>('Input - Activity and Demand'!H$25*'Input - Throughput'!$D$13)/'Input - Capacity'!$C$15</f>
        <v>8.6365045833333323</v>
      </c>
      <c r="I10" s="78">
        <f>('Input - Activity and Demand'!I$25*'Input - Throughput'!$D$13)/'Input - Capacity'!$C$15</f>
        <v>9.1546948583333325</v>
      </c>
      <c r="J10" s="78">
        <f>('Input - Activity and Demand'!J$25*'Input - Throughput'!$D$13)/'Input - Capacity'!$C$15</f>
        <v>9.7039765498333335</v>
      </c>
      <c r="K10" s="78">
        <f>('Input - Activity and Demand'!K$25*'Input - Throughput'!$D$13)/'Input - Capacity'!$C$15</f>
        <v>10.286215142823334</v>
      </c>
      <c r="L10" s="78">
        <f>('Input - Activity and Demand'!L$25*'Input - Throughput'!$D$13)/'Input - Capacity'!$C$15</f>
        <v>10.903388051392733</v>
      </c>
      <c r="M10" s="78">
        <f>('Input - Activity and Demand'!M$25*'Input - Throughput'!$D$13)/'Input - Capacity'!$C$15</f>
        <v>11.557591334476298</v>
      </c>
      <c r="N10" s="78">
        <f>('Input - Activity and Demand'!N$25*'Input - Throughput'!$D$13)/'Input - Capacity'!$C$15</f>
        <v>12.251046814544877</v>
      </c>
      <c r="O10" s="78">
        <f>('Input - Activity and Demand'!O$25*'Input - Throughput'!$D$13)/'Input - Capacity'!$C$15</f>
        <v>12.986109623417569</v>
      </c>
      <c r="P10" s="78">
        <f>('Input - Activity and Demand'!P$25*'Input - Throughput'!$D$13)/'Input - Capacity'!$C$15</f>
        <v>13.765276200822624</v>
      </c>
    </row>
    <row r="11" spans="1:16" s="3" customFormat="1" ht="14.55" customHeight="1" x14ac:dyDescent="0.35">
      <c r="A11" s="330" t="s">
        <v>63</v>
      </c>
      <c r="B11" s="257">
        <f>(('Input - Activity and Demand'!B$11*'Input - Modelling Variables'!$C$8)*'Input - Throughput'!$D$11)/'Input - Capacity'!$C$15</f>
        <v>80.492500000000007</v>
      </c>
      <c r="C11" s="257">
        <f>(('Input - Activity and Demand'!C$11*'Input - Modelling Variables'!$C$8)*'Input - Throughput'!$D$11)/'Input - Capacity'!$C$15</f>
        <v>83.050937499999989</v>
      </c>
      <c r="D11" s="257">
        <f>(('Input - Activity and Demand'!D$11*'Input - Modelling Variables'!$C$8)*'Input - Throughput'!$D$11)/'Input - Capacity'!$C$15</f>
        <v>84.176249999999996</v>
      </c>
      <c r="E11" s="257">
        <f>(('Input - Activity and Demand'!E$11*'Input - Modelling Variables'!$C$8)*'Input - Throughput'!$D$11)/'Input - Capacity'!$C$15</f>
        <v>63.913125000000001</v>
      </c>
      <c r="F11" s="257">
        <f>(('Input - Activity and Demand'!F$11*'Input - Modelling Variables'!$C$8)*'Input - Throughput'!$D$11)/'Input - Capacity'!$C$15</f>
        <v>67.684375000000003</v>
      </c>
      <c r="G11" s="29">
        <f>(('Input - Activity and Demand'!G$26*'Input - Modelling Variables'!$C$8)*'Input - Throughput'!$D$11)/'Input - Capacity'!$C$15</f>
        <v>72.422281249999997</v>
      </c>
      <c r="H11" s="29">
        <f>(('Input - Activity and Demand'!H$26*'Input - Modelling Variables'!$C$8)*'Input - Throughput'!$D$11)/'Input - Capacity'!$C$15</f>
        <v>77.491840937500001</v>
      </c>
      <c r="I11" s="29">
        <f>(('Input - Activity and Demand'!I$26*'Input - Modelling Variables'!$C$8)*'Input - Throughput'!$D$11)/'Input - Capacity'!$C$15</f>
        <v>82.91626980312499</v>
      </c>
      <c r="J11" s="29">
        <f>(('Input - Activity and Demand'!J$26*'Input - Modelling Variables'!$C$8)*'Input - Throughput'!$D$11)/'Input - Capacity'!$C$15</f>
        <v>88.720408689343742</v>
      </c>
      <c r="K11" s="29">
        <f>(('Input - Activity and Demand'!K$26*'Input - Modelling Variables'!$C$8)*'Input - Throughput'!$D$11)/'Input - Capacity'!$C$15</f>
        <v>94.930837297597805</v>
      </c>
      <c r="L11" s="29">
        <f>(('Input - Activity and Demand'!L$26*'Input - Modelling Variables'!$C$8)*'Input - Throughput'!$D$11)/'Input - Capacity'!$C$15</f>
        <v>101.57599590842965</v>
      </c>
      <c r="M11" s="29">
        <f>(('Input - Activity and Demand'!M$26*'Input - Modelling Variables'!$C$8)*'Input - Throughput'!$D$11)/'Input - Capacity'!$C$15</f>
        <v>108.68631562201972</v>
      </c>
      <c r="N11" s="29">
        <f>(('Input - Activity and Demand'!N$26*'Input - Modelling Variables'!$C$8)*'Input - Throughput'!$D$11)/'Input - Capacity'!$C$15</f>
        <v>116.29435771556112</v>
      </c>
      <c r="O11" s="29">
        <f>(('Input - Activity and Demand'!O$26*'Input - Modelling Variables'!$C$8)*'Input - Throughput'!$D$11)/'Input - Capacity'!$C$15</f>
        <v>124.4349627556504</v>
      </c>
      <c r="P11" s="29">
        <f>(('Input - Activity and Demand'!P$26*'Input - Modelling Variables'!$C$8)*'Input - Throughput'!$D$11)/'Input - Capacity'!$C$15</f>
        <v>133.14541014854589</v>
      </c>
    </row>
    <row r="12" spans="1:16" s="3" customFormat="1" ht="14.55" customHeight="1" x14ac:dyDescent="0.35">
      <c r="A12" s="331"/>
      <c r="B12" s="258"/>
      <c r="C12" s="258"/>
      <c r="D12" s="258"/>
      <c r="E12" s="258"/>
      <c r="F12" s="258"/>
      <c r="G12" s="29">
        <f>(('Input - Activity and Demand'!G$27*'Input - Modelling Variables'!$C$8)*'Input - Throughput'!$D$11)/'Input - Capacity'!$C$15</f>
        <v>75.129656249999996</v>
      </c>
      <c r="H12" s="29">
        <f>(('Input - Activity and Demand'!H$27*'Input - Modelling Variables'!$C$8)*'Input - Throughput'!$D$11)/'Input - Capacity'!$C$15</f>
        <v>83.393918437500005</v>
      </c>
      <c r="I12" s="29">
        <f>(('Input - Activity and Demand'!I$27*'Input - Modelling Variables'!$C$8)*'Input - Throughput'!$D$11)/'Input - Capacity'!$C$15</f>
        <v>92.567249465624997</v>
      </c>
      <c r="J12" s="29">
        <f>(('Input - Activity and Demand'!J$27*'Input - Modelling Variables'!$C$8)*'Input - Throughput'!$D$11)/'Input - Capacity'!$C$15</f>
        <v>102.74964690684374</v>
      </c>
      <c r="K12" s="29">
        <f>(('Input - Activity and Demand'!K$27*'Input - Modelling Variables'!$C$8)*'Input - Throughput'!$D$11)/'Input - Capacity'!$C$15</f>
        <v>114.05210806659656</v>
      </c>
      <c r="L12" s="29">
        <f>(('Input - Activity and Demand'!L$27*'Input - Modelling Variables'!$C$8)*'Input - Throughput'!$D$11)/'Input - Capacity'!$C$15</f>
        <v>126.59783995392218</v>
      </c>
      <c r="M12" s="29">
        <f>(('Input - Activity and Demand'!M$27*'Input - Modelling Variables'!$C$8)*'Input - Throughput'!$D$11)/'Input - Capacity'!$C$15</f>
        <v>140.52360234885361</v>
      </c>
      <c r="N12" s="29">
        <f>(('Input - Activity and Demand'!N$27*'Input - Modelling Variables'!$C$8)*'Input - Throughput'!$D$11)/'Input - Capacity'!$C$15</f>
        <v>155.98119860722753</v>
      </c>
      <c r="O12" s="29">
        <f>(('Input - Activity and Demand'!O$27*'Input - Modelling Variables'!$C$8)*'Input - Throughput'!$D$11)/'Input - Capacity'!$C$15</f>
        <v>173.13913045402256</v>
      </c>
      <c r="P12" s="29">
        <f>(('Input - Activity and Demand'!P$27*'Input - Modelling Variables'!$C$8)*'Input - Throughput'!$D$11)/'Input - Capacity'!$C$15</f>
        <v>192.18443480396508</v>
      </c>
    </row>
    <row r="13" spans="1:16" s="28" customFormat="1" ht="14.55" customHeight="1" x14ac:dyDescent="0.35">
      <c r="A13" s="330" t="s">
        <v>61</v>
      </c>
      <c r="B13" s="257">
        <f>(('Input - Activity and Demand'!B$11*'Input - Modelling Variables'!$E$8)*'Input - Throughput'!$D$12)/'Input - Capacity'!$C$15</f>
        <v>32.197000000000003</v>
      </c>
      <c r="C13" s="257">
        <f>(('Input - Activity and Demand'!C$11*'Input - Modelling Variables'!$E$8)*'Input - Throughput'!$D$12)/'Input - Capacity'!$C$15</f>
        <v>33.220375000000004</v>
      </c>
      <c r="D13" s="257">
        <f>(('Input - Activity and Demand'!D$11*'Input - Modelling Variables'!$E$8)*'Input - Throughput'!$D$12)/'Input - Capacity'!$C$15</f>
        <v>33.670499999999997</v>
      </c>
      <c r="E13" s="257">
        <f>(('Input - Activity and Demand'!E$11*'Input - Modelling Variables'!$E$8)*'Input - Throughput'!$D$12)/'Input - Capacity'!$C$15</f>
        <v>25.565249999999999</v>
      </c>
      <c r="F13" s="257">
        <f>(('Input - Activity and Demand'!F$11*'Input - Modelling Variables'!$E$8)*'Input - Throughput'!$D$12)/'Input - Capacity'!$C$15</f>
        <v>27.07375</v>
      </c>
      <c r="G13" s="29">
        <f>(('Input - Activity and Demand'!G$26*'Input - Modelling Variables'!$E$8)*'Input - Throughput'!$D$12)/'Input - Capacity'!$C$15</f>
        <v>28.968912500000002</v>
      </c>
      <c r="H13" s="29">
        <f>(('Input - Activity and Demand'!H$26*'Input - Modelling Variables'!$E$8)*'Input - Throughput'!$D$12)/'Input - Capacity'!$C$15</f>
        <v>30.996736374999998</v>
      </c>
      <c r="I13" s="29">
        <f>(('Input - Activity and Demand'!I$26*'Input - Modelling Variables'!$E$8)*'Input - Throughput'!$D$12)/'Input - Capacity'!$C$15</f>
        <v>33.166507921250002</v>
      </c>
      <c r="J13" s="29">
        <f>(('Input - Activity and Demand'!J$26*'Input - Modelling Variables'!$E$8)*'Input - Throughput'!$D$12)/'Input - Capacity'!$C$15</f>
        <v>35.488163475737501</v>
      </c>
      <c r="K13" s="29">
        <f>(('Input - Activity and Demand'!K$26*'Input - Modelling Variables'!$E$8)*'Input - Throughput'!$D$12)/'Input - Capacity'!$C$15</f>
        <v>37.972334919039127</v>
      </c>
      <c r="L13" s="29">
        <f>(('Input - Activity and Demand'!L$26*'Input - Modelling Variables'!$E$8)*'Input - Throughput'!$D$12)/'Input - Capacity'!$C$15</f>
        <v>40.63039836337186</v>
      </c>
      <c r="M13" s="29">
        <f>(('Input - Activity and Demand'!M$26*'Input - Modelling Variables'!$E$8)*'Input - Throughput'!$D$12)/'Input - Capacity'!$C$15</f>
        <v>43.474526248807891</v>
      </c>
      <c r="N13" s="29">
        <f>(('Input - Activity and Demand'!N$26*'Input - Modelling Variables'!$E$8)*'Input - Throughput'!$D$12)/'Input - Capacity'!$C$15</f>
        <v>46.517743086224442</v>
      </c>
      <c r="O13" s="29">
        <f>(('Input - Activity and Demand'!O$26*'Input - Modelling Variables'!$E$8)*'Input - Throughput'!$D$12)/'Input - Capacity'!$C$15</f>
        <v>49.773985102260156</v>
      </c>
      <c r="P13" s="29">
        <f>(('Input - Activity and Demand'!P$26*'Input - Modelling Variables'!$E$8)*'Input - Throughput'!$D$12)/'Input - Capacity'!$C$15</f>
        <v>53.258164059418377</v>
      </c>
    </row>
    <row r="14" spans="1:16" s="28" customFormat="1" ht="14.55" customHeight="1" x14ac:dyDescent="0.35">
      <c r="A14" s="331"/>
      <c r="B14" s="258"/>
      <c r="C14" s="258"/>
      <c r="D14" s="258"/>
      <c r="E14" s="258"/>
      <c r="F14" s="258"/>
      <c r="G14" s="29">
        <f>(('Input - Activity and Demand'!G$27*'Input - Modelling Variables'!$E$8)*'Input - Throughput'!$D$12)/'Input - Capacity'!$C$15</f>
        <v>30.051862500000002</v>
      </c>
      <c r="H14" s="29">
        <f>(('Input - Activity and Demand'!H$27*'Input - Modelling Variables'!$E$8)*'Input - Throughput'!$D$12)/'Input - Capacity'!$C$15</f>
        <v>33.357567375000002</v>
      </c>
      <c r="I14" s="29">
        <f>(('Input - Activity and Demand'!I$27*'Input - Modelling Variables'!$E$8)*'Input - Throughput'!$D$12)/'Input - Capacity'!$C$15</f>
        <v>37.026899786249999</v>
      </c>
      <c r="J14" s="29">
        <f>(('Input - Activity and Demand'!J$27*'Input - Modelling Variables'!$E$8)*'Input - Throughput'!$D$12)/'Input - Capacity'!$C$15</f>
        <v>41.099858762737497</v>
      </c>
      <c r="K14" s="29">
        <f>(('Input - Activity and Demand'!K$27*'Input - Modelling Variables'!$E$8)*'Input - Throughput'!$D$12)/'Input - Capacity'!$C$15</f>
        <v>45.62084322663862</v>
      </c>
      <c r="L14" s="29">
        <f>(('Input - Activity and Demand'!L$27*'Input - Modelling Variables'!$E$8)*'Input - Throughput'!$D$12)/'Input - Capacity'!$C$15</f>
        <v>50.63913598156887</v>
      </c>
      <c r="M14" s="29">
        <f>(('Input - Activity and Demand'!M$27*'Input - Modelling Variables'!$E$8)*'Input - Throughput'!$D$12)/'Input - Capacity'!$C$15</f>
        <v>56.209440939541459</v>
      </c>
      <c r="N14" s="29">
        <f>(('Input - Activity and Demand'!N$27*'Input - Modelling Variables'!$E$8)*'Input - Throughput'!$D$12)/'Input - Capacity'!$C$15</f>
        <v>62.392479442891016</v>
      </c>
      <c r="O14" s="29">
        <f>(('Input - Activity and Demand'!O$27*'Input - Modelling Variables'!$E$8)*'Input - Throughput'!$D$12)/'Input - Capacity'!$C$15</f>
        <v>69.255652181609022</v>
      </c>
      <c r="P14" s="29">
        <f>(('Input - Activity and Demand'!P$27*'Input - Modelling Variables'!$E$8)*'Input - Throughput'!$D$12)/'Input - Capacity'!$C$15</f>
        <v>76.873773921586036</v>
      </c>
    </row>
    <row r="15" spans="1:16" s="28" customFormat="1" ht="14.55" customHeight="1" x14ac:dyDescent="0.35">
      <c r="A15" s="150" t="s">
        <v>125</v>
      </c>
      <c r="B15" s="105">
        <f>('Input - Activity and Demand'!B$12*'Input - Throughput'!$E$9)/'Input - Capacity'!$C$15</f>
        <v>31.280625000000001</v>
      </c>
      <c r="C15" s="140">
        <f>('Input - Activity and Demand'!C$12*'Input - Throughput'!$E$9)/'Input - Capacity'!$C$15</f>
        <v>31.727812499999999</v>
      </c>
      <c r="D15" s="140">
        <f>('Input - Activity and Demand'!D$12*'Input - Throughput'!$E$9)/'Input - Capacity'!$C$15</f>
        <v>34.035937500000003</v>
      </c>
      <c r="E15" s="140">
        <f>('Input - Activity and Demand'!E$12*'Input - Throughput'!$E$9)/'Input - Capacity'!$C$15</f>
        <v>32.863124999999997</v>
      </c>
      <c r="F15" s="140">
        <f>('Input - Activity and Demand'!F$12*'Input - Throughput'!$E$9)/'Input - Capacity'!$C$15</f>
        <v>35.5153125</v>
      </c>
      <c r="G15" s="29">
        <f>('Input - Activity and Demand'!G$28*'Input - Throughput'!$E$9)/'Input - Capacity'!$C$15</f>
        <v>37.64623125</v>
      </c>
      <c r="H15" s="29">
        <f>('Input - Activity and Demand'!H$28*'Input - Throughput'!$E$9)/'Input - Capacity'!$C$15</f>
        <v>39.905005125000002</v>
      </c>
      <c r="I15" s="29">
        <f>('Input - Activity and Demand'!I$28*'Input - Throughput'!$E$9)/'Input - Capacity'!$C$15</f>
        <v>42.299305432500006</v>
      </c>
      <c r="J15" s="29">
        <f>('Input - Activity and Demand'!J$28*'Input - Throughput'!$E$9)/'Input - Capacity'!$C$15</f>
        <v>44.83726375845</v>
      </c>
      <c r="K15" s="29">
        <f>('Input - Activity and Demand'!K$28*'Input - Throughput'!$E$9)/'Input - Capacity'!$C$15</f>
        <v>47.52749958395701</v>
      </c>
      <c r="L15" s="29">
        <f>('Input - Activity and Demand'!L$28*'Input - Throughput'!$E$9)/'Input - Capacity'!$C$15</f>
        <v>50.379149558994428</v>
      </c>
      <c r="M15" s="29">
        <f>('Input - Activity and Demand'!M$28*'Input - Throughput'!$E$9)/'Input - Capacity'!$C$15</f>
        <v>53.401898532534098</v>
      </c>
      <c r="N15" s="29">
        <f>('Input - Activity and Demand'!N$28*'Input - Throughput'!$E$9)/'Input - Capacity'!$C$15</f>
        <v>56.60601244448614</v>
      </c>
      <c r="O15" s="29">
        <f>('Input - Activity and Demand'!O$28*'Input - Throughput'!$E$9)/'Input - Capacity'!$C$15</f>
        <v>60.002373191155307</v>
      </c>
      <c r="P15" s="29">
        <f>('Input - Activity and Demand'!P$28*'Input - Throughput'!$E$9)/'Input - Capacity'!$C$15</f>
        <v>63.602515582624619</v>
      </c>
    </row>
    <row r="16" spans="1:16" s="28" customFormat="1" ht="14.55" customHeight="1" x14ac:dyDescent="0.35">
      <c r="A16" s="150" t="s">
        <v>126</v>
      </c>
      <c r="B16" s="105">
        <f>IF(B15&lt;'Input - Throughput'!$U$9,('Input - Throughput'!$U$9-B15),0)</f>
        <v>32.719374999999999</v>
      </c>
      <c r="C16" s="201">
        <f>IF(C15&lt;'Input - Throughput'!$U$9,('Input - Throughput'!$U$9-C15),0)</f>
        <v>32.272187500000001</v>
      </c>
      <c r="D16" s="201">
        <f>IF(D15&lt;'Input - Throughput'!$U$9,('Input - Throughput'!$U$9-D15),0)</f>
        <v>29.964062499999997</v>
      </c>
      <c r="E16" s="201">
        <f>IF(E15&lt;'Input - Throughput'!$U$9,('Input - Throughput'!$U$9-E15),0)</f>
        <v>31.136875000000003</v>
      </c>
      <c r="F16" s="201">
        <f>IF(F15&lt;'Input - Throughput'!$U$9,('Input - Throughput'!$U$9-F15),0)</f>
        <v>28.4846875</v>
      </c>
      <c r="G16" s="201">
        <f>IF(G15&lt;'Input - Throughput'!$U$9,('Input - Throughput'!$U$9-G15),0)</f>
        <v>26.35376875</v>
      </c>
      <c r="H16" s="201">
        <f>IF(H15&lt;'Input - Throughput'!$U$9,('Input - Throughput'!$U$9-H15),0)</f>
        <v>24.094994874999998</v>
      </c>
      <c r="I16" s="201">
        <f>IF(I15&lt;'Input - Throughput'!$U$9,('Input - Throughput'!$U$9-I15),0)</f>
        <v>21.700694567499994</v>
      </c>
      <c r="J16" s="201">
        <f>IF(J15&lt;'Input - Throughput'!$U$9,('Input - Throughput'!$U$9-J15),0)</f>
        <v>19.16273624155</v>
      </c>
      <c r="K16" s="201">
        <f>IF(K15&lt;'Input - Throughput'!$U$9,('Input - Throughput'!$U$9-K15),0)</f>
        <v>16.47250041604299</v>
      </c>
      <c r="L16" s="201">
        <f>IF(L15&lt;'Input - Throughput'!$U$9,('Input - Throughput'!$U$9-L15),0)</f>
        <v>13.620850441005572</v>
      </c>
      <c r="M16" s="201">
        <f>IF(M15&lt;'Input - Throughput'!$U$9,('Input - Throughput'!$U$9-M15),0)</f>
        <v>10.598101467465902</v>
      </c>
      <c r="N16" s="201">
        <f>IF(N15&lt;'Input - Throughput'!$U$9,('Input - Throughput'!$U$9-N15),0)</f>
        <v>7.3939875555138599</v>
      </c>
      <c r="O16" s="201">
        <f>IF(O15&lt;'Input - Throughput'!$U$9,('Input - Throughput'!$U$9-O15),0)</f>
        <v>3.9976268088446929</v>
      </c>
      <c r="P16" s="201">
        <f>IF(P15&lt;'Input - Throughput'!$U$9,('Input - Throughput'!$U$9-P15),0)</f>
        <v>0.39748441737538087</v>
      </c>
    </row>
    <row r="17" spans="1:16" s="3" customFormat="1" ht="14.55" customHeight="1" x14ac:dyDescent="0.35">
      <c r="A17" s="77" t="s">
        <v>19</v>
      </c>
      <c r="B17" s="78">
        <f>('Input - Activity and Demand'!B$13*'Input - Throughput'!$D$8)/'Input - Capacity'!$C$15</f>
        <v>28.922916666666666</v>
      </c>
      <c r="C17" s="78">
        <f>('Input - Activity and Demand'!C$13*'Input - Throughput'!$D$8)/'Input - Capacity'!$C$15</f>
        <v>31.335000000000001</v>
      </c>
      <c r="D17" s="78">
        <f>('Input - Activity and Demand'!D$13*'Input - Throughput'!$D$8)/'Input - Capacity'!$C$15</f>
        <v>32.731250000000003</v>
      </c>
      <c r="E17" s="78">
        <f>('Input - Activity and Demand'!E$13*'Input - Throughput'!$D$8)/'Input - Capacity'!$C$15</f>
        <v>25.142499999999998</v>
      </c>
      <c r="F17" s="78">
        <f>('Input - Activity and Demand'!F$13*'Input - Throughput'!$D$8)/'Input - Capacity'!$C$15</f>
        <v>29.942083333333333</v>
      </c>
      <c r="G17" s="78">
        <f>('Input - Activity and Demand'!G$29*'Input - Throughput'!$D$8)/'Input - Capacity'!$C$15</f>
        <v>30.241504166666665</v>
      </c>
      <c r="H17" s="78">
        <f>('Input - Activity and Demand'!H$29*'Input - Throughput'!$D$8)/'Input - Capacity'!$C$15</f>
        <v>30.543919208333339</v>
      </c>
      <c r="I17" s="78">
        <f>('Input - Activity and Demand'!I$29*'Input - Throughput'!$D$8)/'Input - Capacity'!$C$15</f>
        <v>30.849358400416673</v>
      </c>
      <c r="J17" s="78">
        <f>('Input - Activity and Demand'!J$29*'Input - Throughput'!$D$8)/'Input - Capacity'!$C$15</f>
        <v>31.157851984420841</v>
      </c>
      <c r="K17" s="78">
        <f>('Input - Activity and Demand'!K$29*'Input - Throughput'!$D$8)/'Input - Capacity'!$C$15</f>
        <v>31.469430504265041</v>
      </c>
      <c r="L17" s="78">
        <f>('Input - Activity and Demand'!L$29*'Input - Throughput'!$D$8)/'Input - Capacity'!$C$15</f>
        <v>31.784124809307691</v>
      </c>
      <c r="M17" s="78">
        <f>('Input - Activity and Demand'!M$29*'Input - Throughput'!$D$8)/'Input - Capacity'!$C$15</f>
        <v>32.101966057400766</v>
      </c>
      <c r="N17" s="78">
        <f>('Input - Activity and Demand'!N$29*'Input - Throughput'!$D$8)/'Input - Capacity'!$C$15</f>
        <v>32.422985717974775</v>
      </c>
      <c r="O17" s="78">
        <f>('Input - Activity and Demand'!O$29*'Input - Throughput'!$D$8)/'Input - Capacity'!$C$15</f>
        <v>32.747215575154527</v>
      </c>
      <c r="P17" s="78">
        <f>('Input - Activity and Demand'!P$29*'Input - Throughput'!$D$8)/'Input - Capacity'!$C$15</f>
        <v>33.074687730906078</v>
      </c>
    </row>
    <row r="18" spans="1:16" s="3" customFormat="1" ht="14.55" customHeight="1" x14ac:dyDescent="0.35">
      <c r="A18" s="330" t="s">
        <v>15</v>
      </c>
      <c r="B18" s="257">
        <f>(('Input - Activity and Demand'!B$14*'Input - Modelling Variables'!$C$5)*'Input - Throughput'!$D$5)/'Input - Capacity'!$C$15</f>
        <v>132.10833333333332</v>
      </c>
      <c r="C18" s="257">
        <f>(('Input - Activity and Demand'!C$14*'Input - Modelling Variables'!$C$5)*'Input - Throughput'!$D$5)/'Input - Capacity'!$C$15</f>
        <v>136.38906249999999</v>
      </c>
      <c r="D18" s="257">
        <f>(('Input - Activity and Demand'!D$14*'Input - Modelling Variables'!$C$5)*'Input - Throughput'!$D$5)/'Input - Capacity'!$C$15</f>
        <v>142.26015624999999</v>
      </c>
      <c r="E18" s="257">
        <f>(('Input - Activity and Demand'!E$14*'Input - Modelling Variables'!$C$5)*'Input - Throughput'!$D$5)/'Input - Capacity'!$C$15</f>
        <v>132.21510416666666</v>
      </c>
      <c r="F18" s="257">
        <f>(('Input - Activity and Demand'!F$14*'Input - Modelling Variables'!$C$5)*'Input - Throughput'!$D$5)/'Input - Capacity'!$C$15</f>
        <v>146.80598958333334</v>
      </c>
      <c r="G18" s="29">
        <f>(('Input - Activity and Demand'!G$30*'Input - Modelling Variables'!$C$5)*'Input - Throughput'!$D$5)/'Input - Capacity'!$C$15</f>
        <v>157.08240885416666</v>
      </c>
      <c r="H18" s="29">
        <f>(('Input - Activity and Demand'!H$30*'Input - Modelling Variables'!$C$5)*'Input - Throughput'!$D$5)/'Input - Capacity'!$C$15</f>
        <v>168.07817747395833</v>
      </c>
      <c r="I18" s="29">
        <f>(('Input - Activity and Demand'!I$30*'Input - Modelling Variables'!$C$5)*'Input - Throughput'!$D$5)/'Input - Capacity'!$C$15</f>
        <v>179.84364989713541</v>
      </c>
      <c r="J18" s="29">
        <f>(('Input - Activity and Demand'!J$30*'Input - Modelling Variables'!$C$5)*'Input - Throughput'!$D$5)/'Input - Capacity'!$C$15</f>
        <v>192.43270538993485</v>
      </c>
      <c r="K18" s="29">
        <f>(('Input - Activity and Demand'!K$30*'Input - Modelling Variables'!$C$5)*'Input - Throughput'!$D$5)/'Input - Capacity'!$C$15</f>
        <v>205.90299476723033</v>
      </c>
      <c r="L18" s="29">
        <f>(('Input - Activity and Demand'!L$30*'Input - Modelling Variables'!$C$5)*'Input - Throughput'!$D$5)/'Input - Capacity'!$C$15</f>
        <v>220.31620440093641</v>
      </c>
      <c r="M18" s="29">
        <f>(('Input - Activity and Demand'!M$30*'Input - Modelling Variables'!$C$5)*'Input - Throughput'!$D$5)/'Input - Capacity'!$C$15</f>
        <v>235.73833870900194</v>
      </c>
      <c r="N18" s="29">
        <f>(('Input - Activity and Demand'!N$30*'Input - Modelling Variables'!$C$5)*'Input - Throughput'!$D$5)/'Input - Capacity'!$C$15</f>
        <v>252.24002241863209</v>
      </c>
      <c r="O18" s="29">
        <f>(('Input - Activity and Demand'!O$30*'Input - Modelling Variables'!$C$5)*'Input - Throughput'!$D$5)/'Input - Capacity'!$C$15</f>
        <v>269.89682398793633</v>
      </c>
      <c r="P18" s="29">
        <f>(('Input - Activity and Demand'!P$30*'Input - Modelling Variables'!$C$5)*'Input - Throughput'!$D$5)/'Input - Capacity'!$C$15</f>
        <v>288.78960166709186</v>
      </c>
    </row>
    <row r="19" spans="1:16" s="3" customFormat="1" ht="14.55" customHeight="1" x14ac:dyDescent="0.35">
      <c r="A19" s="331"/>
      <c r="B19" s="258"/>
      <c r="C19" s="258"/>
      <c r="D19" s="258"/>
      <c r="E19" s="258"/>
      <c r="F19" s="258"/>
      <c r="G19" s="29">
        <f>(('Input - Activity and Demand'!G$31*'Input - Modelling Variables'!$C$5)*'Input - Throughput'!$D$5)/'Input - Capacity'!$C$15</f>
        <v>160.01852864583333</v>
      </c>
      <c r="H19" s="29">
        <f>(('Input - Activity and Demand'!H$31*'Input - Modelling Variables'!$C$5)*'Input - Throughput'!$D$5)/'Input - Capacity'!$C$15</f>
        <v>174.42019622395833</v>
      </c>
      <c r="I19" s="29">
        <f>(('Input - Activity and Demand'!I$31*'Input - Modelling Variables'!$C$5)*'Input - Throughput'!$D$5)/'Input - Capacity'!$C$15</f>
        <v>190.11801388411462</v>
      </c>
      <c r="J19" s="29">
        <f>(('Input - Activity and Demand'!J$31*'Input - Modelling Variables'!$C$5)*'Input - Throughput'!$D$5)/'Input - Capacity'!$C$15</f>
        <v>207.22863513368489</v>
      </c>
      <c r="K19" s="29">
        <f>(('Input - Activity and Demand'!K$31*'Input - Modelling Variables'!$C$5)*'Input - Throughput'!$D$5)/'Input - Capacity'!$C$15</f>
        <v>225.87921229571654</v>
      </c>
      <c r="L19" s="29">
        <f>(('Input - Activity and Demand'!L$31*'Input - Modelling Variables'!$C$5)*'Input - Throughput'!$D$5)/'Input - Capacity'!$C$15</f>
        <v>246.20834140233106</v>
      </c>
      <c r="M19" s="29">
        <f>(('Input - Activity and Demand'!M$31*'Input - Modelling Variables'!$C$5)*'Input - Throughput'!$D$5)/'Input - Capacity'!$C$15</f>
        <v>268.36709212854083</v>
      </c>
      <c r="N19" s="29">
        <f>(('Input - Activity and Demand'!N$31*'Input - Modelling Variables'!$C$5)*'Input - Throughput'!$D$5)/'Input - Capacity'!$C$15</f>
        <v>292.52013042010947</v>
      </c>
      <c r="O19" s="29">
        <f>(('Input - Activity and Demand'!O$31*'Input - Modelling Variables'!$C$5)*'Input - Throughput'!$D$5)/'Input - Capacity'!$C$15</f>
        <v>318.84694215791933</v>
      </c>
      <c r="P19" s="29">
        <f>(('Input - Activity and Demand'!P$31*'Input - Modelling Variables'!$C$5)*'Input - Throughput'!$D$5)/'Input - Capacity'!$C$15</f>
        <v>347.54316695213208</v>
      </c>
    </row>
    <row r="20" spans="1:16" s="3" customFormat="1" ht="14.55" customHeight="1" x14ac:dyDescent="0.35">
      <c r="A20" s="330" t="s">
        <v>14</v>
      </c>
      <c r="B20" s="257">
        <f>(('Input - Activity and Demand'!B$14*'Input - Modelling Variables'!$E$5)*'Input - Throughput'!$D$6)/'Input - Capacity'!$C$15</f>
        <v>79.265000000000001</v>
      </c>
      <c r="C20" s="257">
        <f>(('Input - Activity and Demand'!C$14*'Input - Modelling Variables'!$E$5)*'Input - Throughput'!$D$6)/'Input - Capacity'!$C$15</f>
        <v>81.833437500000002</v>
      </c>
      <c r="D20" s="257">
        <f>(('Input - Activity and Demand'!D$14*'Input - Modelling Variables'!$E$5)*'Input - Throughput'!$D$6)/'Input - Capacity'!$C$15</f>
        <v>85.356093749999999</v>
      </c>
      <c r="E20" s="257">
        <f>(('Input - Activity and Demand'!E$14*'Input - Modelling Variables'!$E$5)*'Input - Throughput'!$D$6)/'Input - Capacity'!$C$15</f>
        <v>79.329062500000006</v>
      </c>
      <c r="F20" s="257">
        <f>(('Input - Activity and Demand'!F$14*'Input - Modelling Variables'!$E$5)*'Input - Throughput'!$D$6)/'Input - Capacity'!$C$15</f>
        <v>88.083593750000006</v>
      </c>
      <c r="G20" s="29">
        <f>(('Input - Activity and Demand'!G$30*'Input - Modelling Variables'!$E$5)*'Input - Throughput'!$D$6)/'Input - Capacity'!$C$15</f>
        <v>94.249445312500001</v>
      </c>
      <c r="H20" s="29">
        <f>(('Input - Activity and Demand'!H$30*'Input - Modelling Variables'!$E$5)*'Input - Throughput'!$D$6)/'Input - Capacity'!$C$15</f>
        <v>100.84690648437498</v>
      </c>
      <c r="I20" s="29">
        <f>(('Input - Activity and Demand'!I$30*'Input - Modelling Variables'!$E$5)*'Input - Throughput'!$D$6)/'Input - Capacity'!$C$15</f>
        <v>107.90618993828123</v>
      </c>
      <c r="J20" s="29">
        <f>(('Input - Activity and Demand'!J$30*'Input - Modelling Variables'!$E$5)*'Input - Throughput'!$D$6)/'Input - Capacity'!$C$15</f>
        <v>115.45962323396093</v>
      </c>
      <c r="K20" s="29">
        <f>(('Input - Activity and Demand'!K$30*'Input - Modelling Variables'!$E$5)*'Input - Throughput'!$D$6)/'Input - Capacity'!$C$15</f>
        <v>123.5417968603382</v>
      </c>
      <c r="L20" s="29">
        <f>(('Input - Activity and Demand'!L$30*'Input - Modelling Variables'!$E$5)*'Input - Throughput'!$D$6)/'Input - Capacity'!$C$15</f>
        <v>132.18972264056185</v>
      </c>
      <c r="M20" s="29">
        <f>(('Input - Activity and Demand'!M$30*'Input - Modelling Variables'!$E$5)*'Input - Throughput'!$D$6)/'Input - Capacity'!$C$15</f>
        <v>141.44300322540118</v>
      </c>
      <c r="N20" s="29">
        <f>(('Input - Activity and Demand'!N$30*'Input - Modelling Variables'!$E$5)*'Input - Throughput'!$D$6)/'Input - Capacity'!$C$15</f>
        <v>151.34401345117925</v>
      </c>
      <c r="O20" s="29">
        <f>(('Input - Activity and Demand'!O$30*'Input - Modelling Variables'!$E$5)*'Input - Throughput'!$D$6)/'Input - Capacity'!$C$15</f>
        <v>161.9380943927618</v>
      </c>
      <c r="P20" s="29">
        <f>(('Input - Activity and Demand'!P$30*'Input - Modelling Variables'!$E$5)*'Input - Throughput'!$D$6)/'Input - Capacity'!$C$15</f>
        <v>173.27376100025509</v>
      </c>
    </row>
    <row r="21" spans="1:16" s="3" customFormat="1" ht="14.55" customHeight="1" x14ac:dyDescent="0.35">
      <c r="A21" s="331"/>
      <c r="B21" s="258"/>
      <c r="C21" s="258"/>
      <c r="D21" s="258"/>
      <c r="E21" s="258"/>
      <c r="F21" s="258"/>
      <c r="G21" s="29">
        <f>(('Input - Activity and Demand'!G$31*'Input - Modelling Variables'!$E$5)*'Input - Throughput'!$D$6)/'Input - Capacity'!$C$15</f>
        <v>96.011117187500005</v>
      </c>
      <c r="H21" s="29">
        <f>(('Input - Activity and Demand'!H$31*'Input - Modelling Variables'!$E$5)*'Input - Throughput'!$D$6)/'Input - Capacity'!$C$15</f>
        <v>104.652117734375</v>
      </c>
      <c r="I21" s="29">
        <f>(('Input - Activity and Demand'!I$31*'Input - Modelling Variables'!$E$5)*'Input - Throughput'!$D$6)/'Input - Capacity'!$C$15</f>
        <v>114.07080833046875</v>
      </c>
      <c r="J21" s="29">
        <f>(('Input - Activity and Demand'!J$31*'Input - Modelling Variables'!$E$5)*'Input - Throughput'!$D$6)/'Input - Capacity'!$C$15</f>
        <v>124.33718108021094</v>
      </c>
      <c r="K21" s="29">
        <f>(('Input - Activity and Demand'!K$31*'Input - Modelling Variables'!$E$5)*'Input - Throughput'!$D$6)/'Input - Capacity'!$C$15</f>
        <v>135.52752737742992</v>
      </c>
      <c r="L21" s="29">
        <f>(('Input - Activity and Demand'!L$31*'Input - Modelling Variables'!$E$5)*'Input - Throughput'!$D$6)/'Input - Capacity'!$C$15</f>
        <v>147.72500484139863</v>
      </c>
      <c r="M21" s="29">
        <f>(('Input - Activity and Demand'!M$31*'Input - Modelling Variables'!$E$5)*'Input - Throughput'!$D$6)/'Input - Capacity'!$C$15</f>
        <v>161.02025527712448</v>
      </c>
      <c r="N21" s="29">
        <f>(('Input - Activity and Demand'!N$31*'Input - Modelling Variables'!$E$5)*'Input - Throughput'!$D$6)/'Input - Capacity'!$C$15</f>
        <v>175.51207825206569</v>
      </c>
      <c r="O21" s="29">
        <f>(('Input - Activity and Demand'!O$31*'Input - Modelling Variables'!$E$5)*'Input - Throughput'!$D$6)/'Input - Capacity'!$C$15</f>
        <v>191.3081652947516</v>
      </c>
      <c r="P21" s="29">
        <f>(('Input - Activity and Demand'!P$31*'Input - Modelling Variables'!$E$5)*'Input - Throughput'!$D$6)/'Input - Capacity'!$C$15</f>
        <v>208.52590017127926</v>
      </c>
    </row>
    <row r="22" spans="1:16" x14ac:dyDescent="0.45">
      <c r="A22" s="25" t="s">
        <v>95</v>
      </c>
      <c r="B22" s="326">
        <f>SUM(B5:B21)</f>
        <v>550.89598817708327</v>
      </c>
      <c r="C22" s="326">
        <f>SUM(C5:C21)</f>
        <v>564.36231343749978</v>
      </c>
      <c r="D22" s="326">
        <f>SUM(D5:D21)</f>
        <v>573.58493829166662</v>
      </c>
      <c r="E22" s="326">
        <f>SUM(E5:E21)</f>
        <v>487.86230569791667</v>
      </c>
      <c r="F22" s="326">
        <f>SUM(F5:F21)</f>
        <v>537.35383102083335</v>
      </c>
      <c r="G22" s="35">
        <f>SUM(G5:G8,G10:G11,G13,G15:G18,G20)</f>
        <v>562.81251849770831</v>
      </c>
      <c r="H22" s="35">
        <f t="shared" ref="H22:P22" si="0">SUM(H5:H8,H10:H11,H13,H15:H18,H20)</f>
        <v>589.95585114935216</v>
      </c>
      <c r="I22" s="35">
        <f t="shared" si="0"/>
        <v>618.89987455826224</v>
      </c>
      <c r="J22" s="35">
        <f t="shared" si="0"/>
        <v>649.76869789202897</v>
      </c>
      <c r="K22" s="35">
        <f t="shared" si="0"/>
        <v>682.69505584912679</v>
      </c>
      <c r="L22" s="35">
        <f t="shared" si="0"/>
        <v>717.82090982289253</v>
      </c>
      <c r="M22" s="35">
        <f t="shared" si="0"/>
        <v>755.29809102306945</v>
      </c>
      <c r="N22" s="35">
        <f t="shared" si="0"/>
        <v>795.28898848574136</v>
      </c>
      <c r="O22" s="35">
        <f t="shared" si="0"/>
        <v>837.96728510732146</v>
      </c>
      <c r="P22" s="35">
        <f t="shared" si="0"/>
        <v>883.51874505740966</v>
      </c>
    </row>
    <row r="23" spans="1:16" x14ac:dyDescent="0.45">
      <c r="A23" s="25" t="s">
        <v>96</v>
      </c>
      <c r="B23" s="327"/>
      <c r="C23" s="327"/>
      <c r="D23" s="327"/>
      <c r="E23" s="327"/>
      <c r="F23" s="327"/>
      <c r="G23" s="35">
        <f>SUM(G5:G7,G9,G10,G12,G14:G17,G19,G21)</f>
        <v>571.67527766437502</v>
      </c>
      <c r="H23" s="35">
        <f t="shared" ref="H23:P23" si="1">SUM(H5:H7,H9,H10,H12,H14:H17,H19,H21)</f>
        <v>609.15273889935213</v>
      </c>
      <c r="I23" s="35">
        <f t="shared" si="1"/>
        <v>650.08939599792893</v>
      </c>
      <c r="J23" s="35">
        <f t="shared" si="1"/>
        <v>694.81805843262907</v>
      </c>
      <c r="K23" s="35">
        <f t="shared" si="1"/>
        <v>743.70409751973386</v>
      </c>
      <c r="L23" s="35">
        <f t="shared" si="1"/>
        <v>797.14867399513764</v>
      </c>
      <c r="M23" s="35">
        <f t="shared" si="1"/>
        <v>855.59228929698952</v>
      </c>
      <c r="N23" s="35">
        <f t="shared" si="1"/>
        <v>919.51869337623634</v>
      </c>
      <c r="O23" s="35">
        <f t="shared" si="1"/>
        <v>989.45918521766782</v>
      </c>
      <c r="P23" s="35">
        <f t="shared" si="1"/>
        <v>1065.9973459630378</v>
      </c>
    </row>
    <row r="24" spans="1:16" x14ac:dyDescent="0.45">
      <c r="A24" s="1"/>
      <c r="B24" s="30"/>
      <c r="C24" s="30"/>
      <c r="D24" s="30"/>
      <c r="E24" s="30"/>
      <c r="F24" s="30"/>
      <c r="G24" s="30"/>
      <c r="H24" s="30"/>
      <c r="I24" s="30"/>
      <c r="J24" s="30"/>
      <c r="K24" s="30"/>
      <c r="L24" s="30"/>
      <c r="M24" s="30"/>
      <c r="N24" s="30"/>
    </row>
    <row r="25" spans="1:16" x14ac:dyDescent="0.45">
      <c r="A25" s="65" t="s">
        <v>69</v>
      </c>
      <c r="B25" s="324" t="s">
        <v>170</v>
      </c>
      <c r="C25" s="324"/>
      <c r="D25" s="324"/>
      <c r="E25" s="324"/>
      <c r="F25" s="328"/>
      <c r="G25" s="325" t="s">
        <v>94</v>
      </c>
      <c r="H25" s="325"/>
      <c r="I25" s="325"/>
      <c r="J25" s="325"/>
      <c r="K25" s="325"/>
      <c r="L25" s="325"/>
      <c r="M25" s="325"/>
      <c r="N25" s="325"/>
      <c r="O25" s="325"/>
      <c r="P25" s="325"/>
    </row>
    <row r="26" spans="1:16" x14ac:dyDescent="0.45">
      <c r="A26" s="25" t="s">
        <v>22</v>
      </c>
      <c r="B26" s="8" t="s">
        <v>35</v>
      </c>
      <c r="C26" s="8" t="s">
        <v>36</v>
      </c>
      <c r="D26" s="8" t="s">
        <v>7</v>
      </c>
      <c r="E26" s="8" t="s">
        <v>37</v>
      </c>
      <c r="F26" s="8" t="s">
        <v>38</v>
      </c>
      <c r="G26" s="33" t="s">
        <v>41</v>
      </c>
      <c r="H26" s="8" t="s">
        <v>42</v>
      </c>
      <c r="I26" s="8" t="s">
        <v>43</v>
      </c>
      <c r="J26" s="8" t="s">
        <v>44</v>
      </c>
      <c r="K26" s="8" t="s">
        <v>45</v>
      </c>
      <c r="L26" s="8" t="s">
        <v>59</v>
      </c>
      <c r="M26" s="8" t="s">
        <v>60</v>
      </c>
      <c r="N26" s="8" t="s">
        <v>70</v>
      </c>
      <c r="O26" s="8" t="s">
        <v>71</v>
      </c>
      <c r="P26" s="8" t="s">
        <v>72</v>
      </c>
    </row>
    <row r="27" spans="1:16" s="3" customFormat="1" ht="14.55" customHeight="1" x14ac:dyDescent="0.35">
      <c r="A27" s="8" t="s">
        <v>169</v>
      </c>
      <c r="B27" s="29">
        <f>((('Input - Activity and Demand'!B$6*(1-'Input - Modelling Variables'!$C$11)*'Input - Modelling Variables'!$C$23*'Input - Modelling Variables'!$C$14*(1-'Input - Modelling Variables'!$C$47))+(('Input - Activity and Demand'!B$6*(1-'Input - Modelling Variables'!$C$11))*'Input - Modelling Variables'!$C$26*('Input - Modelling Variables'!$E$14-'Input - Modelling Variables'!$C$17))+('Input - Activity and Demand'!B$6*(1-'Input - Modelling Variables'!$C$11)*'Input - Modelling Variables'!$C$29*'Input - Modelling Variables'!$C$17*(1-'Input - Modelling Variables'!$C$50)))*'Input - Throughput'!$H$14)/'Input - Capacity'!$F$15</f>
        <v>20.323012110726644</v>
      </c>
      <c r="C27" s="29">
        <f>((('Input - Activity and Demand'!C$6*(1-'Input - Modelling Variables'!$C$11)*'Input - Modelling Variables'!$C$23*'Input - Modelling Variables'!$C$14*(1-'Input - Modelling Variables'!$C$47))+(('Input - Activity and Demand'!C$6*(1-'Input - Modelling Variables'!$C$11))*'Input - Modelling Variables'!$C$26*('Input - Modelling Variables'!$E$14-'Input - Modelling Variables'!$C$17))+('Input - Activity and Demand'!C$6*(1-'Input - Modelling Variables'!$C$11)*'Input - Modelling Variables'!$C$29*'Input - Modelling Variables'!$C$17*(1-'Input - Modelling Variables'!$C$50)))*'Input - Throughput'!$H$14)/'Input - Capacity'!$F$15</f>
        <v>20.308764705882357</v>
      </c>
      <c r="D27" s="29">
        <f>((('Input - Activity and Demand'!D$6*(1-'Input - Modelling Variables'!$C$11)*'Input - Modelling Variables'!$C$23*'Input - Modelling Variables'!$C$14*(1-'Input - Modelling Variables'!$C$47))+(('Input - Activity and Demand'!D$6*(1-'Input - Modelling Variables'!$C$11))*'Input - Modelling Variables'!$C$26*('Input - Modelling Variables'!$E$14-'Input - Modelling Variables'!$C$17))+('Input - Activity and Demand'!D$6*(1-'Input - Modelling Variables'!$C$11)*'Input - Modelling Variables'!$C$29*'Input - Modelling Variables'!$C$17*(1-'Input - Modelling Variables'!$C$50)))*'Input - Throughput'!$H$14)/'Input - Capacity'!$F$15</f>
        <v>19.889900346020767</v>
      </c>
      <c r="E27" s="29">
        <f>((('Input - Activity and Demand'!E$6*(1-'Input - Modelling Variables'!$C$11)*'Input - Modelling Variables'!$C$23*'Input - Modelling Variables'!$C$14*(1-'Input - Modelling Variables'!$C$47))+(('Input - Activity and Demand'!E$6*(1-'Input - Modelling Variables'!$C$11))*'Input - Modelling Variables'!$C$26*('Input - Modelling Variables'!$E$14-'Input - Modelling Variables'!$C$17))+('Input - Activity and Demand'!E$6*(1-'Input - Modelling Variables'!$C$11)*'Input - Modelling Variables'!$C$29*'Input - Modelling Variables'!$C$17*(1-'Input - Modelling Variables'!$C$50)))*'Input - Throughput'!$H$14)/'Input - Capacity'!$F$15</f>
        <v>14.550636332179932</v>
      </c>
      <c r="F27" s="29">
        <f>((('Input - Activity and Demand'!F$6*(1-'Input - Modelling Variables'!$C$11)*'Input - Modelling Variables'!$C$23*'Input - Modelling Variables'!$C$14*(1-'Input - Modelling Variables'!$C$47))+(('Input - Activity and Demand'!F$6*(1-'Input - Modelling Variables'!$C$11))*'Input - Modelling Variables'!$C$26*('Input - Modelling Variables'!$E$14-'Input - Modelling Variables'!$C$17))+('Input - Activity and Demand'!F$6*(1-'Input - Modelling Variables'!$C$11)*'Input - Modelling Variables'!$C$29*'Input - Modelling Variables'!$C$17*(1-'Input - Modelling Variables'!$C$50)))*'Input - Throughput'!$H$14)/'Input - Capacity'!$F$15</f>
        <v>17.591275432525954</v>
      </c>
      <c r="G27" s="29">
        <f>((('Input - Activity and Demand'!G$20*(1-'Input - Modelling Variables'!$C$11)*'Input - Modelling Variables'!$C$23*'Input - Modelling Variables'!$C$14*(1-'Input - Modelling Variables'!$C$47))+(('Input - Activity and Demand'!G$20*(1-'Input - Modelling Variables'!$C$11))*'Input - Modelling Variables'!$C$26*('Input - Modelling Variables'!$E$14-'Input - Modelling Variables'!$C$17))+('Input - Activity and Demand'!G$20*(1-'Input - Modelling Variables'!$C$11)*'Input - Modelling Variables'!$C$29*'Input - Modelling Variables'!$C$17*(1-'Input - Modelling Variables'!$C$50)))*'Input - Throughput'!$H$14)/'Input - Capacity'!$F$15</f>
        <v>17.767188186851214</v>
      </c>
      <c r="H27" s="29">
        <f>((('Input - Activity and Demand'!H$20*(1-'Input - Modelling Variables'!$C$11)*'Input - Modelling Variables'!$C$23*'Input - Modelling Variables'!$C$14*(1-'Input - Modelling Variables'!$C$47))+(('Input - Activity and Demand'!H$20*(1-'Input - Modelling Variables'!$C$11))*'Input - Modelling Variables'!$C$26*('Input - Modelling Variables'!$E$14-'Input - Modelling Variables'!$C$17))+('Input - Activity and Demand'!H$20*(1-'Input - Modelling Variables'!$C$11)*'Input - Modelling Variables'!$C$29*'Input - Modelling Variables'!$C$17*(1-'Input - Modelling Variables'!$C$50)))*'Input - Throughput'!$H$14)/'Input - Capacity'!$F$15</f>
        <v>17.944860068719724</v>
      </c>
      <c r="I27" s="29">
        <f>((('Input - Activity and Demand'!I$20*(1-'Input - Modelling Variables'!$C$11)*'Input - Modelling Variables'!$C$23*'Input - Modelling Variables'!$C$14*(1-'Input - Modelling Variables'!$C$47))+(('Input - Activity and Demand'!I$20*(1-'Input - Modelling Variables'!$C$11))*'Input - Modelling Variables'!$C$26*('Input - Modelling Variables'!$E$14-'Input - Modelling Variables'!$C$17))+('Input - Activity and Demand'!I$20*(1-'Input - Modelling Variables'!$C$11)*'Input - Modelling Variables'!$C$29*'Input - Modelling Variables'!$C$17*(1-'Input - Modelling Variables'!$C$50)))*'Input - Throughput'!$H$14)/'Input - Capacity'!$F$15</f>
        <v>18.124308669406922</v>
      </c>
      <c r="J27" s="29">
        <f>((('Input - Activity and Demand'!J$20*(1-'Input - Modelling Variables'!$C$11)*'Input - Modelling Variables'!$C$23*'Input - Modelling Variables'!$C$14*(1-'Input - Modelling Variables'!$C$47))+(('Input - Activity and Demand'!J$20*(1-'Input - Modelling Variables'!$C$11))*'Input - Modelling Variables'!$C$26*('Input - Modelling Variables'!$E$14-'Input - Modelling Variables'!$C$17))+('Input - Activity and Demand'!J$20*(1-'Input - Modelling Variables'!$C$11)*'Input - Modelling Variables'!$C$29*'Input - Modelling Variables'!$C$17*(1-'Input - Modelling Variables'!$C$50)))*'Input - Throughput'!$H$14)/'Input - Capacity'!$F$15</f>
        <v>18.305551756100993</v>
      </c>
      <c r="K27" s="29">
        <f>((('Input - Activity and Demand'!K$20*(1-'Input - Modelling Variables'!$C$11)*'Input - Modelling Variables'!$C$23*'Input - Modelling Variables'!$C$14*(1-'Input - Modelling Variables'!$C$47))+(('Input - Activity and Demand'!K$20*(1-'Input - Modelling Variables'!$C$11))*'Input - Modelling Variables'!$C$26*('Input - Modelling Variables'!$E$14-'Input - Modelling Variables'!$C$17))+('Input - Activity and Demand'!K$20*(1-'Input - Modelling Variables'!$C$11)*'Input - Modelling Variables'!$C$29*'Input - Modelling Variables'!$C$17*(1-'Input - Modelling Variables'!$C$50)))*'Input - Throughput'!$H$14)/'Input - Capacity'!$F$15</f>
        <v>18.488607273662002</v>
      </c>
      <c r="L27" s="29">
        <f>((('Input - Activity and Demand'!L$20*(1-'Input - Modelling Variables'!$C$11)*'Input - Modelling Variables'!$C$23*'Input - Modelling Variables'!$C$14*(1-'Input - Modelling Variables'!$C$47))+(('Input - Activity and Demand'!L$20*(1-'Input - Modelling Variables'!$C$11))*'Input - Modelling Variables'!$C$26*('Input - Modelling Variables'!$E$14-'Input - Modelling Variables'!$C$17))+('Input - Activity and Demand'!L$20*(1-'Input - Modelling Variables'!$C$11)*'Input - Modelling Variables'!$C$29*'Input - Modelling Variables'!$C$17*(1-'Input - Modelling Variables'!$C$50)))*'Input - Throughput'!$H$14)/'Input - Capacity'!$F$15</f>
        <v>18.673493346398622</v>
      </c>
      <c r="M27" s="29">
        <f>((('Input - Activity and Demand'!M$20*(1-'Input - Modelling Variables'!$C$11)*'Input - Modelling Variables'!$C$23*'Input - Modelling Variables'!$C$14*(1-'Input - Modelling Variables'!$C$47))+(('Input - Activity and Demand'!M$20*(1-'Input - Modelling Variables'!$C$11))*'Input - Modelling Variables'!$C$26*('Input - Modelling Variables'!$E$14-'Input - Modelling Variables'!$C$17))+('Input - Activity and Demand'!M$20*(1-'Input - Modelling Variables'!$C$11)*'Input - Modelling Variables'!$C$29*'Input - Modelling Variables'!$C$17*(1-'Input - Modelling Variables'!$C$50)))*'Input - Throughput'!$H$14)/'Input - Capacity'!$F$15</f>
        <v>18.860228279862607</v>
      </c>
      <c r="N27" s="29">
        <f>((('Input - Activity and Demand'!N$20*(1-'Input - Modelling Variables'!$C$11)*'Input - Modelling Variables'!$C$23*'Input - Modelling Variables'!$C$14*(1-'Input - Modelling Variables'!$C$47))+(('Input - Activity and Demand'!N$20*(1-'Input - Modelling Variables'!$C$11))*'Input - Modelling Variables'!$C$26*('Input - Modelling Variables'!$E$14-'Input - Modelling Variables'!$C$17))+('Input - Activity and Demand'!N$20*(1-'Input - Modelling Variables'!$C$11)*'Input - Modelling Variables'!$C$29*'Input - Modelling Variables'!$C$17*(1-'Input - Modelling Variables'!$C$50)))*'Input - Throughput'!$H$14)/'Input - Capacity'!$F$15</f>
        <v>19.048830562661234</v>
      </c>
      <c r="O27" s="29">
        <f>((('Input - Activity and Demand'!O$20*(1-'Input - Modelling Variables'!$C$11)*'Input - Modelling Variables'!$C$23*'Input - Modelling Variables'!$C$14*(1-'Input - Modelling Variables'!$C$47))+(('Input - Activity and Demand'!O$20*(1-'Input - Modelling Variables'!$C$11))*'Input - Modelling Variables'!$C$26*('Input - Modelling Variables'!$E$14-'Input - Modelling Variables'!$C$17))+('Input - Activity and Demand'!O$20*(1-'Input - Modelling Variables'!$C$11)*'Input - Modelling Variables'!$C$29*'Input - Modelling Variables'!$C$17*(1-'Input - Modelling Variables'!$C$50)))*'Input - Throughput'!$H$14)/'Input - Capacity'!$F$15</f>
        <v>19.239318868287842</v>
      </c>
      <c r="P27" s="29">
        <f>((('Input - Activity and Demand'!P$20*(1-'Input - Modelling Variables'!$C$11)*'Input - Modelling Variables'!$C$23*'Input - Modelling Variables'!$C$14*(1-'Input - Modelling Variables'!$C$47))+(('Input - Activity and Demand'!P$20*(1-'Input - Modelling Variables'!$C$11))*'Input - Modelling Variables'!$C$26*('Input - Modelling Variables'!$E$14-'Input - Modelling Variables'!$C$17))+('Input - Activity and Demand'!P$20*(1-'Input - Modelling Variables'!$C$11)*'Input - Modelling Variables'!$C$29*'Input - Modelling Variables'!$C$17*(1-'Input - Modelling Variables'!$C$50)))*'Input - Throughput'!$H$14)/'Input - Capacity'!$F$15</f>
        <v>19.431712056970721</v>
      </c>
    </row>
    <row r="28" spans="1:16" s="3" customFormat="1" ht="14.55" customHeight="1" x14ac:dyDescent="0.35">
      <c r="A28" s="8" t="s">
        <v>18</v>
      </c>
      <c r="B28" s="29">
        <f>(('Input - Activity and Demand'!B$7*'Input - Modelling Variables'!$C$32*(1-'Input - Modelling Variables'!$C$53))*'Input - Throughput'!$H$7)/'Input - Capacity'!$F$15</f>
        <v>0</v>
      </c>
      <c r="C28" s="29">
        <f>(('Input - Activity and Demand'!C$7*'Input - Modelling Variables'!$C$32*(1-'Input - Modelling Variables'!$C$53))*'Input - Throughput'!$H$7)/'Input - Capacity'!$F$15</f>
        <v>0</v>
      </c>
      <c r="D28" s="29">
        <f>(('Input - Activity and Demand'!D$7*'Input - Modelling Variables'!$C$32*(1-'Input - Modelling Variables'!$C$53))*'Input - Throughput'!$H$7)/'Input - Capacity'!$F$15</f>
        <v>0</v>
      </c>
      <c r="E28" s="29">
        <f>(('Input - Activity and Demand'!E$7*'Input - Modelling Variables'!$C$32*(1-'Input - Modelling Variables'!$C$53))*'Input - Throughput'!$H$7)/'Input - Capacity'!$F$15</f>
        <v>0</v>
      </c>
      <c r="F28" s="29">
        <f>(('Input - Activity and Demand'!F$7*'Input - Modelling Variables'!$C$32*(1-'Input - Modelling Variables'!$C$53))*'Input - Throughput'!$H$7)/'Input - Capacity'!$F$15</f>
        <v>0</v>
      </c>
      <c r="G28" s="29">
        <f>(('Input - Activity and Demand'!G$21*'Input - Modelling Variables'!$C$32*(1-'Input - Modelling Variables'!$C$53))*'Input - Throughput'!$H$7)/'Input - Capacity'!$F$15</f>
        <v>0</v>
      </c>
      <c r="H28" s="29">
        <f>(('Input - Activity and Demand'!H$21*'Input - Modelling Variables'!$C$32*(1-'Input - Modelling Variables'!$C$53))*'Input - Throughput'!$H$7)/'Input - Capacity'!$F$15</f>
        <v>0</v>
      </c>
      <c r="I28" s="29">
        <f>(('Input - Activity and Demand'!I$21*'Input - Modelling Variables'!$C$32*(1-'Input - Modelling Variables'!$C$53))*'Input - Throughput'!$H$7)/'Input - Capacity'!$F$15</f>
        <v>0</v>
      </c>
      <c r="J28" s="29">
        <f>(('Input - Activity and Demand'!J$21*'Input - Modelling Variables'!$C$32*(1-'Input - Modelling Variables'!$C$53))*'Input - Throughput'!$H$7)/'Input - Capacity'!$F$15</f>
        <v>0</v>
      </c>
      <c r="K28" s="29">
        <f>(('Input - Activity and Demand'!K$21*'Input - Modelling Variables'!$C$32*(1-'Input - Modelling Variables'!$C$53))*'Input - Throughput'!$H$7)/'Input - Capacity'!$F$15</f>
        <v>0</v>
      </c>
      <c r="L28" s="29">
        <f>(('Input - Activity and Demand'!L$21*'Input - Modelling Variables'!$C$32*(1-'Input - Modelling Variables'!$C$53))*'Input - Throughput'!$H$7)/'Input - Capacity'!$F$15</f>
        <v>0</v>
      </c>
      <c r="M28" s="29">
        <f>(('Input - Activity and Demand'!M$21*'Input - Modelling Variables'!$C$32*(1-'Input - Modelling Variables'!$C$53))*'Input - Throughput'!$H$7)/'Input - Capacity'!$F$15</f>
        <v>0</v>
      </c>
      <c r="N28" s="29">
        <f>(('Input - Activity and Demand'!N$21*'Input - Modelling Variables'!$C$32*(1-'Input - Modelling Variables'!$C$53))*'Input - Throughput'!$H$7)/'Input - Capacity'!$F$15</f>
        <v>0</v>
      </c>
      <c r="O28" s="29">
        <f>(('Input - Activity and Demand'!O$21*'Input - Modelling Variables'!$C$32*(1-'Input - Modelling Variables'!$C$53))*'Input - Throughput'!$H$7)/'Input - Capacity'!$F$15</f>
        <v>0</v>
      </c>
      <c r="P28" s="29">
        <f>(('Input - Activity and Demand'!P$21*'Input - Modelling Variables'!$C$32*(1-'Input - Modelling Variables'!$C$53))*'Input - Throughput'!$H$7)/'Input - Capacity'!$F$15</f>
        <v>0</v>
      </c>
    </row>
    <row r="29" spans="1:16" s="3" customFormat="1" ht="14.55" customHeight="1" x14ac:dyDescent="0.35">
      <c r="A29" s="10" t="s">
        <v>116</v>
      </c>
      <c r="B29" s="29">
        <f>(('Input - Activity and Demand'!B$8*'Input - Modelling Variables'!$C$35)*'Input - Throughput'!$H$10)/'Input - Capacity'!$F$15</f>
        <v>0</v>
      </c>
      <c r="C29" s="29">
        <f>(('Input - Activity and Demand'!C$8*'Input - Modelling Variables'!$C$35)*'Input - Throughput'!$H$10)/'Input - Capacity'!$F$15</f>
        <v>0</v>
      </c>
      <c r="D29" s="29">
        <f>(('Input - Activity and Demand'!D$8*'Input - Modelling Variables'!$C$35)*'Input - Throughput'!$H$10)/'Input - Capacity'!$F$15</f>
        <v>0</v>
      </c>
      <c r="E29" s="29">
        <f>(('Input - Activity and Demand'!E$8*'Input - Modelling Variables'!$C$35)*'Input - Throughput'!$H$10)/'Input - Capacity'!$F$15</f>
        <v>0</v>
      </c>
      <c r="F29" s="29">
        <f>(('Input - Activity and Demand'!F$8*'Input - Modelling Variables'!$C$35)*'Input - Throughput'!$H$10)/'Input - Capacity'!$F$15</f>
        <v>0</v>
      </c>
      <c r="G29" s="29">
        <f>(('Input - Activity and Demand'!G$22*'Input - Modelling Variables'!$C$35)*'Input - Throughput'!$H$10)/'Input - Capacity'!$F$15</f>
        <v>0</v>
      </c>
      <c r="H29" s="29">
        <f>(('Input - Activity and Demand'!H$22*'Input - Modelling Variables'!$C$35)*'Input - Throughput'!$H$10)/'Input - Capacity'!$F$15</f>
        <v>0</v>
      </c>
      <c r="I29" s="29">
        <f>(('Input - Activity and Demand'!I$22*'Input - Modelling Variables'!$C$35)*'Input - Throughput'!$H$10)/'Input - Capacity'!$F$15</f>
        <v>0</v>
      </c>
      <c r="J29" s="29">
        <f>(('Input - Activity and Demand'!J$22*'Input - Modelling Variables'!$C$35)*'Input - Throughput'!$H$10)/'Input - Capacity'!$F$15</f>
        <v>0</v>
      </c>
      <c r="K29" s="29">
        <f>(('Input - Activity and Demand'!K$22*'Input - Modelling Variables'!$C$35)*'Input - Throughput'!$H$10)/'Input - Capacity'!$F$15</f>
        <v>0</v>
      </c>
      <c r="L29" s="29">
        <f>(('Input - Activity and Demand'!L$22*'Input - Modelling Variables'!$C$35)*'Input - Throughput'!$H$10)/'Input - Capacity'!$F$15</f>
        <v>0</v>
      </c>
      <c r="M29" s="29">
        <f>(('Input - Activity and Demand'!M$22*'Input - Modelling Variables'!$C$35)*'Input - Throughput'!$H$10)/'Input - Capacity'!$F$15</f>
        <v>0</v>
      </c>
      <c r="N29" s="29">
        <f>(('Input - Activity and Demand'!N$22*'Input - Modelling Variables'!$C$35)*'Input - Throughput'!$H$10)/'Input - Capacity'!$F$15</f>
        <v>0</v>
      </c>
      <c r="O29" s="29">
        <f>(('Input - Activity and Demand'!O$22*'Input - Modelling Variables'!$C$35)*'Input - Throughput'!$H$10)/'Input - Capacity'!$F$15</f>
        <v>0</v>
      </c>
      <c r="P29" s="29">
        <f>(('Input - Activity and Demand'!P$22*'Input - Modelling Variables'!$C$35)*'Input - Throughput'!$H$10)/'Input - Capacity'!$F$15</f>
        <v>0</v>
      </c>
    </row>
    <row r="30" spans="1:16" s="82" customFormat="1" ht="14.55" customHeight="1" x14ac:dyDescent="0.35">
      <c r="A30" s="137" t="s">
        <v>39</v>
      </c>
      <c r="B30" s="38">
        <f>SUM(B27:B29)</f>
        <v>20.323012110726644</v>
      </c>
      <c r="C30" s="38">
        <f t="shared" ref="C30:P30" si="2">SUM(C27:C29)</f>
        <v>20.308764705882357</v>
      </c>
      <c r="D30" s="38">
        <f t="shared" si="2"/>
        <v>19.889900346020767</v>
      </c>
      <c r="E30" s="38">
        <f t="shared" si="2"/>
        <v>14.550636332179932</v>
      </c>
      <c r="F30" s="38">
        <f t="shared" si="2"/>
        <v>17.591275432525954</v>
      </c>
      <c r="G30" s="38">
        <f t="shared" si="2"/>
        <v>17.767188186851214</v>
      </c>
      <c r="H30" s="38">
        <f t="shared" si="2"/>
        <v>17.944860068719724</v>
      </c>
      <c r="I30" s="38">
        <f t="shared" si="2"/>
        <v>18.124308669406922</v>
      </c>
      <c r="J30" s="38">
        <f t="shared" si="2"/>
        <v>18.305551756100993</v>
      </c>
      <c r="K30" s="38">
        <f t="shared" si="2"/>
        <v>18.488607273662002</v>
      </c>
      <c r="L30" s="38">
        <f t="shared" si="2"/>
        <v>18.673493346398622</v>
      </c>
      <c r="M30" s="38">
        <f t="shared" si="2"/>
        <v>18.860228279862607</v>
      </c>
      <c r="N30" s="38">
        <f t="shared" si="2"/>
        <v>19.048830562661234</v>
      </c>
      <c r="O30" s="38">
        <f t="shared" si="2"/>
        <v>19.239318868287842</v>
      </c>
      <c r="P30" s="38">
        <f t="shared" si="2"/>
        <v>19.431712056970721</v>
      </c>
    </row>
    <row r="31" spans="1:16" s="3" customFormat="1" ht="20" customHeight="1" x14ac:dyDescent="0.35">
      <c r="A31" s="74"/>
      <c r="B31" s="75"/>
      <c r="C31" s="75"/>
      <c r="D31" s="75"/>
      <c r="E31" s="75"/>
      <c r="F31" s="75"/>
      <c r="G31" s="75"/>
      <c r="H31" s="75"/>
      <c r="I31" s="75"/>
      <c r="J31" s="75"/>
      <c r="K31" s="75"/>
      <c r="L31" s="75"/>
      <c r="M31" s="75"/>
      <c r="N31" s="75"/>
    </row>
    <row r="32" spans="1:16" ht="30" customHeight="1" x14ac:dyDescent="0.45">
      <c r="A32" s="146" t="s">
        <v>159</v>
      </c>
      <c r="B32" s="30"/>
      <c r="C32" s="30"/>
      <c r="D32" s="30"/>
      <c r="E32" s="30"/>
      <c r="F32" s="30"/>
      <c r="G32" s="30"/>
      <c r="H32" s="30"/>
      <c r="I32" s="30"/>
      <c r="J32" s="30"/>
      <c r="K32" s="30"/>
      <c r="L32" s="30"/>
      <c r="M32" s="30"/>
      <c r="N32" s="30"/>
    </row>
    <row r="33" spans="1:16" x14ac:dyDescent="0.45">
      <c r="A33" s="64" t="s">
        <v>40</v>
      </c>
      <c r="B33" s="324" t="s">
        <v>97</v>
      </c>
      <c r="C33" s="328"/>
      <c r="D33" s="332" t="s">
        <v>98</v>
      </c>
      <c r="E33" s="325"/>
      <c r="F33" s="325"/>
      <c r="G33" s="325"/>
      <c r="H33" s="325"/>
      <c r="I33" s="325"/>
      <c r="J33" s="325"/>
      <c r="K33" s="325"/>
      <c r="L33" s="325"/>
      <c r="M33" s="325"/>
      <c r="N33" s="325"/>
      <c r="O33" s="325"/>
      <c r="P33" s="325"/>
    </row>
    <row r="34" spans="1:16" x14ac:dyDescent="0.45">
      <c r="A34" s="25" t="s">
        <v>22</v>
      </c>
      <c r="B34" s="8" t="s">
        <v>35</v>
      </c>
      <c r="C34" s="8" t="s">
        <v>36</v>
      </c>
      <c r="D34" s="8" t="s">
        <v>7</v>
      </c>
      <c r="E34" s="8" t="s">
        <v>37</v>
      </c>
      <c r="F34" s="8" t="s">
        <v>38</v>
      </c>
      <c r="G34" s="33" t="s">
        <v>41</v>
      </c>
      <c r="H34" s="8" t="s">
        <v>42</v>
      </c>
      <c r="I34" s="8" t="s">
        <v>43</v>
      </c>
      <c r="J34" s="8" t="s">
        <v>44</v>
      </c>
      <c r="K34" s="8" t="s">
        <v>45</v>
      </c>
      <c r="L34" s="8" t="s">
        <v>59</v>
      </c>
      <c r="M34" s="8" t="s">
        <v>60</v>
      </c>
      <c r="N34" s="8" t="s">
        <v>70</v>
      </c>
      <c r="O34" s="8" t="s">
        <v>71</v>
      </c>
      <c r="P34" s="8" t="s">
        <v>72</v>
      </c>
    </row>
    <row r="35" spans="1:16" s="28" customFormat="1" ht="14.55" customHeight="1" x14ac:dyDescent="0.35">
      <c r="A35" s="8" t="s">
        <v>169</v>
      </c>
      <c r="B35" s="29">
        <f t="shared" ref="B35:C38" si="3">B5</f>
        <v>85.449092343749996</v>
      </c>
      <c r="C35" s="29">
        <f t="shared" si="3"/>
        <v>85.389188437499996</v>
      </c>
      <c r="D35" s="29">
        <f>((('Input - Activity and Demand'!D$38*(1-'Input - Modelling Variables'!$C$11)*'Input - Modelling Variables'!$F$23*'Input - Modelling Variables'!$C$14*(1-'Input - Modelling Variables'!$C$47))+(('Input - Activity and Demand'!D$38*(1-'Input - Modelling Variables'!$C$11))*'Input - Modelling Variables'!$H$26*('Input - Modelling Variables'!$E$14-'Input - Modelling Variables'!$C$17))+('Input - Activity and Demand'!D$38*(1-'Input - Modelling Variables'!$C$11)*'Input - Modelling Variables'!$F$29*'Input - Modelling Variables'!$C$17*(1-'Input - Modelling Variables'!$C$50)))*'Input - Throughput'!$D$14)/'Input - Capacity'!$C$15</f>
        <v>85.807952749999998</v>
      </c>
      <c r="E35" s="29">
        <f>((('Input - Activity and Demand'!E$38*(1-'Input - Modelling Variables'!$C$11)*'Input - Modelling Variables'!$F$23*'Input - Modelling Variables'!$C$14*(1-'Input - Modelling Variables'!$C$47))+(('Input - Activity and Demand'!E$38*(1-'Input - Modelling Variables'!$C$11))*'Input - Modelling Variables'!$H$26*('Input - Modelling Variables'!$E$14-'Input - Modelling Variables'!$C$17))+('Input - Activity and Demand'!E$38*(1-'Input - Modelling Variables'!$C$11)*'Input - Modelling Variables'!$F$29*'Input - Modelling Variables'!$C$17*(1-'Input - Modelling Variables'!$C$50)))*'Input - Throughput'!$D$14)/'Input - Capacity'!$C$15</f>
        <v>86.666032277499994</v>
      </c>
      <c r="F35" s="29">
        <f>((('Input - Activity and Demand'!F$38*(1-'Input - Modelling Variables'!$C$11)*'Input - Modelling Variables'!$F$23*'Input - Modelling Variables'!$C$14*(1-'Input - Modelling Variables'!$C$47))+(('Input - Activity and Demand'!F$38*(1-'Input - Modelling Variables'!$C$11))*'Input - Modelling Variables'!$H$26*('Input - Modelling Variables'!$E$14-'Input - Modelling Variables'!$C$17))+('Input - Activity and Demand'!F$38*(1-'Input - Modelling Variables'!$C$11)*'Input - Modelling Variables'!$F$29*'Input - Modelling Variables'!$C$17*(1-'Input - Modelling Variables'!$C$50)))*'Input - Throughput'!$D$14)/'Input - Capacity'!$C$15</f>
        <v>87.532692600274999</v>
      </c>
      <c r="G35" s="29">
        <f>((('Input - Activity and Demand'!G$38*(1-'Input - Modelling Variables'!$C$11)*'Input - Modelling Variables'!$F$23*'Input - Modelling Variables'!$C$14*(1-'Input - Modelling Variables'!$C$47))+(('Input - Activity and Demand'!G$38*(1-'Input - Modelling Variables'!$C$11))*'Input - Modelling Variables'!$H$26*('Input - Modelling Variables'!$E$14-'Input - Modelling Variables'!$C$17))+('Input - Activity and Demand'!G$38*(1-'Input - Modelling Variables'!$C$11)*'Input - Modelling Variables'!$F$29*'Input - Modelling Variables'!$C$17*(1-'Input - Modelling Variables'!$C$50)))*'Input - Throughput'!$D$14)/'Input - Capacity'!$C$15</f>
        <v>88.408019526277769</v>
      </c>
      <c r="H35" s="29">
        <f>((('Input - Activity and Demand'!H$38*(1-'Input - Modelling Variables'!$C$11)*'Input - Modelling Variables'!$F$23*'Input - Modelling Variables'!$C$14*(1-'Input - Modelling Variables'!$C$47))+(('Input - Activity and Demand'!H$38*(1-'Input - Modelling Variables'!$C$11))*'Input - Modelling Variables'!$H$26*('Input - Modelling Variables'!$E$14-'Input - Modelling Variables'!$C$17))+('Input - Activity and Demand'!H$38*(1-'Input - Modelling Variables'!$C$11)*'Input - Modelling Variables'!$F$29*'Input - Modelling Variables'!$C$17*(1-'Input - Modelling Variables'!$C$50)))*'Input - Throughput'!$D$14)/'Input - Capacity'!$C$15</f>
        <v>89.292099721540538</v>
      </c>
      <c r="I35" s="29">
        <f>((('Input - Activity and Demand'!I$38*(1-'Input - Modelling Variables'!$C$11)*'Input - Modelling Variables'!$F$23*'Input - Modelling Variables'!$C$14*(1-'Input - Modelling Variables'!$C$47))+(('Input - Activity and Demand'!I$38*(1-'Input - Modelling Variables'!$C$11))*'Input - Modelling Variables'!$H$26*('Input - Modelling Variables'!$E$14-'Input - Modelling Variables'!$C$17))+('Input - Activity and Demand'!I$38*(1-'Input - Modelling Variables'!$C$11)*'Input - Modelling Variables'!$F$29*'Input - Modelling Variables'!$C$17*(1-'Input - Modelling Variables'!$C$50)))*'Input - Throughput'!$D$14)/'Input - Capacity'!$C$15</f>
        <v>90.185020718755936</v>
      </c>
      <c r="J35" s="29">
        <f>((('Input - Activity and Demand'!J$38*(1-'Input - Modelling Variables'!$C$11)*'Input - Modelling Variables'!$F$23*'Input - Modelling Variables'!$C$14*(1-'Input - Modelling Variables'!$C$47))+(('Input - Activity and Demand'!J$38*(1-'Input - Modelling Variables'!$C$11))*'Input - Modelling Variables'!$H$26*('Input - Modelling Variables'!$E$14-'Input - Modelling Variables'!$C$17))+('Input - Activity and Demand'!J$38*(1-'Input - Modelling Variables'!$C$11)*'Input - Modelling Variables'!$F$29*'Input - Modelling Variables'!$C$17*(1-'Input - Modelling Variables'!$C$50)))*'Input - Throughput'!$D$14)/'Input - Capacity'!$C$15</f>
        <v>91.086870925943487</v>
      </c>
      <c r="K35" s="29">
        <f>((('Input - Activity and Demand'!K$38*(1-'Input - Modelling Variables'!$C$11)*'Input - Modelling Variables'!$F$23*'Input - Modelling Variables'!$C$14*(1-'Input - Modelling Variables'!$C$47))+(('Input - Activity and Demand'!K$38*(1-'Input - Modelling Variables'!$C$11))*'Input - Modelling Variables'!$H$26*('Input - Modelling Variables'!$E$14-'Input - Modelling Variables'!$C$17))+('Input - Activity and Demand'!K$38*(1-'Input - Modelling Variables'!$C$11)*'Input - Modelling Variables'!$F$29*'Input - Modelling Variables'!$C$17*(1-'Input - Modelling Variables'!$C$50)))*'Input - Throughput'!$D$14)/'Input - Capacity'!$C$15</f>
        <v>91.997739635202919</v>
      </c>
      <c r="L35" s="29">
        <f>((('Input - Activity and Demand'!L$38*(1-'Input - Modelling Variables'!$C$11)*'Input - Modelling Variables'!$F$23*'Input - Modelling Variables'!$C$14*(1-'Input - Modelling Variables'!$C$47))+(('Input - Activity and Demand'!L$38*(1-'Input - Modelling Variables'!$C$11))*'Input - Modelling Variables'!$H$26*('Input - Modelling Variables'!$E$14-'Input - Modelling Variables'!$C$17))+('Input - Activity and Demand'!L$38*(1-'Input - Modelling Variables'!$C$11)*'Input - Modelling Variables'!$F$29*'Input - Modelling Variables'!$C$17*(1-'Input - Modelling Variables'!$C$50)))*'Input - Throughput'!$D$14)/'Input - Capacity'!$C$15</f>
        <v>92.917717031554943</v>
      </c>
      <c r="M35" s="29">
        <f>((('Input - Activity and Demand'!M$38*(1-'Input - Modelling Variables'!$C$11)*'Input - Modelling Variables'!$F$23*'Input - Modelling Variables'!$C$14*(1-'Input - Modelling Variables'!$C$47))+(('Input - Activity and Demand'!M$38*(1-'Input - Modelling Variables'!$C$11))*'Input - Modelling Variables'!$H$26*('Input - Modelling Variables'!$E$14-'Input - Modelling Variables'!$C$17))+('Input - Activity and Demand'!M$38*(1-'Input - Modelling Variables'!$C$11)*'Input - Modelling Variables'!$F$29*'Input - Modelling Variables'!$C$17*(1-'Input - Modelling Variables'!$C$50)))*'Input - Throughput'!$D$14)/'Input - Capacity'!$C$15</f>
        <v>93.846894201870484</v>
      </c>
      <c r="N35" s="29">
        <f>((('Input - Activity and Demand'!N$38*(1-'Input - Modelling Variables'!$C$11)*'Input - Modelling Variables'!$F$23*'Input - Modelling Variables'!$C$14*(1-'Input - Modelling Variables'!$C$47))+(('Input - Activity and Demand'!N$38*(1-'Input - Modelling Variables'!$C$11))*'Input - Modelling Variables'!$H$26*('Input - Modelling Variables'!$E$14-'Input - Modelling Variables'!$C$17))+('Input - Activity and Demand'!N$38*(1-'Input - Modelling Variables'!$C$11)*'Input - Modelling Variables'!$F$29*'Input - Modelling Variables'!$C$17*(1-'Input - Modelling Variables'!$C$50)))*'Input - Throughput'!$D$14)/'Input - Capacity'!$C$15</f>
        <v>94.785363143889199</v>
      </c>
      <c r="O35" s="29">
        <f>((('Input - Activity and Demand'!O$38*(1-'Input - Modelling Variables'!$C$11)*'Input - Modelling Variables'!$F$23*'Input - Modelling Variables'!$C$14*(1-'Input - Modelling Variables'!$C$47))+(('Input - Activity and Demand'!O$38*(1-'Input - Modelling Variables'!$C$11))*'Input - Modelling Variables'!$H$26*('Input - Modelling Variables'!$E$14-'Input - Modelling Variables'!$C$17))+('Input - Activity and Demand'!O$38*(1-'Input - Modelling Variables'!$C$11)*'Input - Modelling Variables'!$F$29*'Input - Modelling Variables'!$C$17*(1-'Input - Modelling Variables'!$C$50)))*'Input - Throughput'!$D$14)/'Input - Capacity'!$C$15</f>
        <v>95.733216775328074</v>
      </c>
      <c r="P35" s="29">
        <f>((('Input - Activity and Demand'!P$38*(1-'Input - Modelling Variables'!$C$11)*'Input - Modelling Variables'!$F$23*'Input - Modelling Variables'!$C$14*(1-'Input - Modelling Variables'!$C$47))+(('Input - Activity and Demand'!P$38*(1-'Input - Modelling Variables'!$C$11))*'Input - Modelling Variables'!$H$26*('Input - Modelling Variables'!$E$14-'Input - Modelling Variables'!$C$17))+('Input - Activity and Demand'!P$38*(1-'Input - Modelling Variables'!$C$11)*'Input - Modelling Variables'!$F$29*'Input - Modelling Variables'!$C$17*(1-'Input - Modelling Variables'!$C$50)))*'Input - Throughput'!$D$14)/'Input - Capacity'!$C$15</f>
        <v>96.690548943081367</v>
      </c>
    </row>
    <row r="36" spans="1:16" s="3" customFormat="1" ht="14.55" customHeight="1" x14ac:dyDescent="0.35">
      <c r="A36" s="8" t="s">
        <v>18</v>
      </c>
      <c r="B36" s="29">
        <f t="shared" si="3"/>
        <v>1.0194791666666667</v>
      </c>
      <c r="C36" s="29">
        <f t="shared" si="3"/>
        <v>1.7407291666666667</v>
      </c>
      <c r="D36" s="29">
        <f>(('Input - Activity and Demand'!D$39*'Input - Modelling Variables'!$F$32*(1-'Input - Modelling Variables'!$C$53))*'Input - Throughput'!$D$7)/'Input - Capacity'!$C$15</f>
        <v>1.5422222222222219</v>
      </c>
      <c r="E36" s="29">
        <f>(('Input - Activity and Demand'!E$39*'Input - Modelling Variables'!$F$32*(1-'Input - Modelling Variables'!$C$53))*'Input - Throughput'!$D$7)/'Input - Capacity'!$C$15</f>
        <v>1.5576444444444442</v>
      </c>
      <c r="F36" s="29">
        <f>(('Input - Activity and Demand'!F$39*'Input - Modelling Variables'!$F$32*(1-'Input - Modelling Variables'!$C$53))*'Input - Throughput'!$D$7)/'Input - Capacity'!$C$15</f>
        <v>1.5732208888888888</v>
      </c>
      <c r="G36" s="29">
        <f>(('Input - Activity and Demand'!G$39*'Input - Modelling Variables'!$F$32*(1-'Input - Modelling Variables'!$C$53))*'Input - Throughput'!$D$7)/'Input - Capacity'!$C$15</f>
        <v>1.5889530977777777</v>
      </c>
      <c r="H36" s="29">
        <f>(('Input - Activity and Demand'!H$39*'Input - Modelling Variables'!$F$32*(1-'Input - Modelling Variables'!$C$53))*'Input - Throughput'!$D$7)/'Input - Capacity'!$C$15</f>
        <v>1.6048426287555555</v>
      </c>
      <c r="I36" s="29">
        <f>(('Input - Activity and Demand'!I$39*'Input - Modelling Variables'!$F$32*(1-'Input - Modelling Variables'!$C$53))*'Input - Throughput'!$D$7)/'Input - Capacity'!$C$15</f>
        <v>1.620891055043111</v>
      </c>
      <c r="J36" s="29">
        <f>(('Input - Activity and Demand'!J$39*'Input - Modelling Variables'!$F$32*(1-'Input - Modelling Variables'!$C$53))*'Input - Throughput'!$D$7)/'Input - Capacity'!$C$15</f>
        <v>1.6370999655935421</v>
      </c>
      <c r="K36" s="29">
        <f>(('Input - Activity and Demand'!K$39*'Input - Modelling Variables'!$F$32*(1-'Input - Modelling Variables'!$C$53))*'Input - Throughput'!$D$7)/'Input - Capacity'!$C$15</f>
        <v>1.6534709652494775</v>
      </c>
      <c r="L36" s="29">
        <f>(('Input - Activity and Demand'!L$39*'Input - Modelling Variables'!$F$32*(1-'Input - Modelling Variables'!$C$53))*'Input - Throughput'!$D$7)/'Input - Capacity'!$C$15</f>
        <v>1.6700056749019723</v>
      </c>
      <c r="M36" s="29">
        <f>(('Input - Activity and Demand'!M$39*'Input - Modelling Variables'!$F$32*(1-'Input - Modelling Variables'!$C$53))*'Input - Throughput'!$D$7)/'Input - Capacity'!$C$15</f>
        <v>1.6867057316509921</v>
      </c>
      <c r="N36" s="29">
        <f>(('Input - Activity and Demand'!N$39*'Input - Modelling Variables'!$F$32*(1-'Input - Modelling Variables'!$C$53))*'Input - Throughput'!$D$7)/'Input - Capacity'!$C$15</f>
        <v>1.7035727889675019</v>
      </c>
      <c r="O36" s="29">
        <f>(('Input - Activity and Demand'!O$39*'Input - Modelling Variables'!$F$32*(1-'Input - Modelling Variables'!$C$53))*'Input - Throughput'!$D$7)/'Input - Capacity'!$C$15</f>
        <v>1.7206085168571768</v>
      </c>
      <c r="P36" s="29">
        <f>(('Input - Activity and Demand'!P$39*'Input - Modelling Variables'!$F$32*(1-'Input - Modelling Variables'!$C$53))*'Input - Throughput'!$D$7)/'Input - Capacity'!$C$15</f>
        <v>1.7378146020257488</v>
      </c>
    </row>
    <row r="37" spans="1:16" s="3" customFormat="1" ht="14.55" customHeight="1" x14ac:dyDescent="0.35">
      <c r="A37" s="10" t="s">
        <v>116</v>
      </c>
      <c r="B37" s="29">
        <f t="shared" si="3"/>
        <v>14.316666666666666</v>
      </c>
      <c r="C37" s="29">
        <f t="shared" si="3"/>
        <v>14.135624999999999</v>
      </c>
      <c r="D37" s="29">
        <f>(('Input - Activity and Demand'!D$40*'Input - Modelling Variables'!$G$35)*'Input - Throughput'!$D$10)/'Input - Capacity'!$C$15</f>
        <v>13.893055555555552</v>
      </c>
      <c r="E37" s="29">
        <f>(('Input - Activity and Demand'!E$40*'Input - Modelling Variables'!$G$35)*'Input - Throughput'!$D$10)/'Input - Capacity'!$C$15</f>
        <v>14.031986111111109</v>
      </c>
      <c r="F37" s="29">
        <f>(('Input - Activity and Demand'!F$40*'Input - Modelling Variables'!$G$35)*'Input - Throughput'!$D$10)/'Input - Capacity'!$C$15</f>
        <v>14.172305972222219</v>
      </c>
      <c r="G37" s="29">
        <f>(('Input - Activity and Demand'!G$40*'Input - Modelling Variables'!$G$35)*'Input - Throughput'!$D$10)/'Input - Capacity'!$C$15</f>
        <v>14.314029031944445</v>
      </c>
      <c r="H37" s="29">
        <f>(('Input - Activity and Demand'!H$40*'Input - Modelling Variables'!$G$35)*'Input - Throughput'!$D$10)/'Input - Capacity'!$C$15</f>
        <v>14.457169322263885</v>
      </c>
      <c r="I37" s="29">
        <f>(('Input - Activity and Demand'!I$40*'Input - Modelling Variables'!$G$35)*'Input - Throughput'!$D$10)/'Input - Capacity'!$C$15</f>
        <v>14.601741015486526</v>
      </c>
      <c r="J37" s="29">
        <f>(('Input - Activity and Demand'!J$40*'Input - Modelling Variables'!$G$35)*'Input - Throughput'!$D$10)/'Input - Capacity'!$C$15</f>
        <v>14.747758425641393</v>
      </c>
      <c r="K37" s="29">
        <f>(('Input - Activity and Demand'!K$40*'Input - Modelling Variables'!$G$35)*'Input - Throughput'!$D$10)/'Input - Capacity'!$C$15</f>
        <v>14.895236009897808</v>
      </c>
      <c r="L37" s="29">
        <f>(('Input - Activity and Demand'!L$40*'Input - Modelling Variables'!$G$35)*'Input - Throughput'!$D$10)/'Input - Capacity'!$C$15</f>
        <v>15.044188369996785</v>
      </c>
      <c r="M37" s="29">
        <f>(('Input - Activity and Demand'!M$40*'Input - Modelling Variables'!$G$35)*'Input - Throughput'!$D$10)/'Input - Capacity'!$C$15</f>
        <v>15.194630253696754</v>
      </c>
      <c r="N37" s="29">
        <f>(('Input - Activity and Demand'!N$40*'Input - Modelling Variables'!$G$35)*'Input - Throughput'!$D$10)/'Input - Capacity'!$C$15</f>
        <v>15.346576556233723</v>
      </c>
      <c r="O37" s="29">
        <f>(('Input - Activity and Demand'!O$40*'Input - Modelling Variables'!$G$35)*'Input - Throughput'!$D$10)/'Input - Capacity'!$C$15</f>
        <v>15.500042321796061</v>
      </c>
      <c r="P37" s="29">
        <f>(('Input - Activity and Demand'!P$40*'Input - Modelling Variables'!$G$35)*'Input - Throughput'!$D$10)/'Input - Capacity'!$C$15</f>
        <v>15.655042745014022</v>
      </c>
    </row>
    <row r="38" spans="1:16" s="28" customFormat="1" ht="14.55" customHeight="1" x14ac:dyDescent="0.35">
      <c r="A38" s="330" t="s">
        <v>52</v>
      </c>
      <c r="B38" s="257">
        <f t="shared" si="3"/>
        <v>22.811458333333327</v>
      </c>
      <c r="C38" s="257">
        <f t="shared" si="3"/>
        <v>22.82983333333333</v>
      </c>
      <c r="D38" s="29">
        <f>(('Input - Activity and Demand'!D$41*'Input - Modelling Variables'!$I$38)*'Input - Throughput'!$E$15)/'Input - Capacity'!$C$15</f>
        <v>22.819166666666661</v>
      </c>
      <c r="E38" s="29">
        <f>(('Input - Activity and Demand'!E$41*'Input - Modelling Variables'!$I$38)*'Input - Throughput'!$E$15)/'Input - Capacity'!$C$15</f>
        <v>23.73193333333333</v>
      </c>
      <c r="F38" s="29">
        <f>(('Input - Activity and Demand'!F$41*'Input - Modelling Variables'!$I$38)*'Input - Throughput'!$E$15)/'Input - Capacity'!$C$15</f>
        <v>24.681210666666662</v>
      </c>
      <c r="G38" s="29">
        <f>(('Input - Activity and Demand'!G$41*'Input - Modelling Variables'!$I$38)*'Input - Throughput'!$E$15)/'Input - Capacity'!$C$15</f>
        <v>25.668459093333329</v>
      </c>
      <c r="H38" s="29">
        <f>(('Input - Activity and Demand'!H$41*'Input - Modelling Variables'!$I$38)*'Input - Throughput'!$E$15)/'Input - Capacity'!$C$15</f>
        <v>26.695197457066666</v>
      </c>
      <c r="I38" s="29">
        <f>(('Input - Activity and Demand'!I$41*'Input - Modelling Variables'!$I$38)*'Input - Throughput'!$E$15)/'Input - Capacity'!$C$15</f>
        <v>27.763005355349328</v>
      </c>
      <c r="J38" s="29">
        <f>(('Input - Activity and Demand'!J$41*'Input - Modelling Variables'!$I$38)*'Input - Throughput'!$E$15)/'Input - Capacity'!$C$15</f>
        <v>28.873525569563306</v>
      </c>
      <c r="K38" s="29">
        <f>(('Input - Activity and Demand'!K$41*'Input - Modelling Variables'!$I$38)*'Input - Throughput'!$E$15)/'Input - Capacity'!$C$15</f>
        <v>30.028466592345836</v>
      </c>
      <c r="L38" s="29">
        <f>(('Input - Activity and Demand'!L$41*'Input - Modelling Variables'!$I$38)*'Input - Throughput'!$E$15)/'Input - Capacity'!$C$15</f>
        <v>31.229605256039672</v>
      </c>
      <c r="M38" s="29">
        <f>(('Input - Activity and Demand'!M$41*'Input - Modelling Variables'!$I$38)*'Input - Throughput'!$E$15)/'Input - Capacity'!$C$15</f>
        <v>32.478789466281256</v>
      </c>
      <c r="N38" s="29">
        <f>(('Input - Activity and Demand'!N$41*'Input - Modelling Variables'!$I$38)*'Input - Throughput'!$E$15)/'Input - Capacity'!$C$15</f>
        <v>33.777941044932511</v>
      </c>
      <c r="O38" s="29">
        <f>(('Input - Activity and Demand'!O$41*'Input - Modelling Variables'!$I$38)*'Input - Throughput'!$E$15)/'Input - Capacity'!$C$15</f>
        <v>35.129058686729813</v>
      </c>
      <c r="P38" s="29">
        <f>(('Input - Activity and Demand'!P$41*'Input - Modelling Variables'!$I$38)*'Input - Throughput'!$E$15)/'Input - Capacity'!$C$15</f>
        <v>36.534221034199</v>
      </c>
    </row>
    <row r="39" spans="1:16" s="28" customFormat="1" ht="14.55" customHeight="1" x14ac:dyDescent="0.35">
      <c r="A39" s="331"/>
      <c r="B39" s="258"/>
      <c r="C39" s="258"/>
      <c r="D39" s="29">
        <f>(('Input - Activity and Demand'!D$42*'Input - Modelling Variables'!$I$38)*'Input - Throughput'!$E$15)/'Input - Capacity'!$C$15</f>
        <v>22.819166666666661</v>
      </c>
      <c r="E39" s="29">
        <f>(('Input - Activity and Demand'!E$42*'Input - Modelling Variables'!$I$38)*'Input - Throughput'!$E$15)/'Input - Capacity'!$C$15</f>
        <v>24.188316666666662</v>
      </c>
      <c r="F39" s="29">
        <f>(('Input - Activity and Demand'!F$42*'Input - Modelling Variables'!$I$38)*'Input - Throughput'!$E$15)/'Input - Capacity'!$C$15</f>
        <v>25.639615666666661</v>
      </c>
      <c r="G39" s="29">
        <f>(('Input - Activity and Demand'!G$42*'Input - Modelling Variables'!$I$38)*'Input - Throughput'!$E$15)/'Input - Capacity'!$C$15</f>
        <v>27.177992606666663</v>
      </c>
      <c r="H39" s="29">
        <f>(('Input - Activity and Demand'!H$42*'Input - Modelling Variables'!$I$38)*'Input - Throughput'!$E$15)/'Input - Capacity'!$C$15</f>
        <v>28.808672163066664</v>
      </c>
      <c r="I39" s="29">
        <f>(('Input - Activity and Demand'!I$42*'Input - Modelling Variables'!$I$38)*'Input - Throughput'!$E$15)/'Input - Capacity'!$C$15</f>
        <v>30.537192492850664</v>
      </c>
      <c r="J39" s="29">
        <f>(('Input - Activity and Demand'!J$42*'Input - Modelling Variables'!$I$38)*'Input - Throughput'!$E$15)/'Input - Capacity'!$C$15</f>
        <v>32.369424042421699</v>
      </c>
      <c r="K39" s="29">
        <f>(('Input - Activity and Demand'!K$42*'Input - Modelling Variables'!$I$38)*'Input - Throughput'!$E$15)/'Input - Capacity'!$C$15</f>
        <v>34.311589484967001</v>
      </c>
      <c r="L39" s="29">
        <f>(('Input - Activity and Demand'!L$42*'Input - Modelling Variables'!$I$38)*'Input - Throughput'!$E$15)/'Input - Capacity'!$C$15</f>
        <v>36.370284854065027</v>
      </c>
      <c r="M39" s="29">
        <f>(('Input - Activity and Demand'!M$42*'Input - Modelling Variables'!$I$38)*'Input - Throughput'!$E$15)/'Input - Capacity'!$C$15</f>
        <v>38.552501945308926</v>
      </c>
      <c r="N39" s="29">
        <f>(('Input - Activity and Demand'!N$42*'Input - Modelling Variables'!$I$38)*'Input - Throughput'!$E$15)/'Input - Capacity'!$C$15</f>
        <v>40.865652062027458</v>
      </c>
      <c r="O39" s="29">
        <f>(('Input - Activity and Demand'!O$42*'Input - Modelling Variables'!$I$38)*'Input - Throughput'!$E$15)/'Input - Capacity'!$C$15</f>
        <v>43.317591185749102</v>
      </c>
      <c r="P39" s="29">
        <f>(('Input - Activity and Demand'!P$42*'Input - Modelling Variables'!$I$38)*'Input - Throughput'!$E$15)/'Input - Capacity'!$C$15</f>
        <v>45.916646656894059</v>
      </c>
    </row>
    <row r="40" spans="1:16" s="28" customFormat="1" ht="14.55" customHeight="1" x14ac:dyDescent="0.35">
      <c r="A40" s="77" t="s">
        <v>9</v>
      </c>
      <c r="B40" s="78">
        <f>B10</f>
        <v>10.313541666666667</v>
      </c>
      <c r="C40" s="78">
        <f>C10</f>
        <v>10.438124999999999</v>
      </c>
      <c r="D40" s="78">
        <f>('Input - Activity and Demand'!D$43*'Input - Throughput'!$D$13)/'Input - Capacity'!$C$15</f>
        <v>10.433611111111109</v>
      </c>
      <c r="E40" s="78">
        <f>('Input - Activity and Demand'!E$43*'Input - Throughput'!$D$13)/'Input - Capacity'!$C$15</f>
        <v>11.059627777777777</v>
      </c>
      <c r="F40" s="78">
        <f>('Input - Activity and Demand'!F$43*'Input - Throughput'!$D$13)/'Input - Capacity'!$C$15</f>
        <v>11.723205444444444</v>
      </c>
      <c r="G40" s="78">
        <f>('Input - Activity and Demand'!G$43*'Input - Throughput'!$D$13)/'Input - Capacity'!$C$15</f>
        <v>12.42659777111111</v>
      </c>
      <c r="H40" s="78">
        <f>('Input - Activity and Demand'!H$43*'Input - Throughput'!$D$13)/'Input - Capacity'!$C$15</f>
        <v>13.172193637377777</v>
      </c>
      <c r="I40" s="78">
        <f>('Input - Activity and Demand'!I$43*'Input - Throughput'!$D$13)/'Input - Capacity'!$C$15</f>
        <v>13.962525255620443</v>
      </c>
      <c r="J40" s="78">
        <f>('Input - Activity and Demand'!J$43*'Input - Throughput'!$D$13)/'Input - Capacity'!$C$15</f>
        <v>14.800276770957668</v>
      </c>
      <c r="K40" s="78">
        <f>('Input - Activity and Demand'!K$43*'Input - Throughput'!$D$13)/'Input - Capacity'!$C$15</f>
        <v>15.68829337721513</v>
      </c>
      <c r="L40" s="78">
        <f>('Input - Activity and Demand'!L$43*'Input - Throughput'!$D$13)/'Input - Capacity'!$C$15</f>
        <v>16.629590979848036</v>
      </c>
      <c r="M40" s="78">
        <f>('Input - Activity and Demand'!M$43*'Input - Throughput'!$D$13)/'Input - Capacity'!$C$15</f>
        <v>17.627366438638916</v>
      </c>
      <c r="N40" s="78">
        <f>('Input - Activity and Demand'!N$43*'Input - Throughput'!$D$13)/'Input - Capacity'!$C$15</f>
        <v>18.68500842495725</v>
      </c>
      <c r="O40" s="78">
        <f>('Input - Activity and Demand'!O$43*'Input - Throughput'!$D$13)/'Input - Capacity'!$C$15</f>
        <v>19.806108930454684</v>
      </c>
      <c r="P40" s="78">
        <f>('Input - Activity and Demand'!P$43*'Input - Throughput'!$D$13)/'Input - Capacity'!$C$15</f>
        <v>20.994475466281965</v>
      </c>
    </row>
    <row r="41" spans="1:16" s="3" customFormat="1" ht="14.55" customHeight="1" x14ac:dyDescent="0.35">
      <c r="A41" s="330" t="s">
        <v>63</v>
      </c>
      <c r="B41" s="257">
        <f>B11</f>
        <v>80.492500000000007</v>
      </c>
      <c r="C41" s="257">
        <f>C11</f>
        <v>83.050937499999989</v>
      </c>
      <c r="D41" s="29">
        <f>(('Input - Activity and Demand'!D$44*'Input - Modelling Variables'!$C$8)*'Input - Throughput'!$D$11)/'Input - Capacity'!$C$15</f>
        <v>85.140416666666653</v>
      </c>
      <c r="E41" s="29">
        <f>(('Input - Activity and Demand'!E$44*'Input - Modelling Variables'!$C$8)*'Input - Throughput'!$D$11)/'Input - Capacity'!$C$15</f>
        <v>91.100245833333332</v>
      </c>
      <c r="F41" s="29">
        <f>(('Input - Activity and Demand'!F$44*'Input - Modelling Variables'!$C$8)*'Input - Throughput'!$D$11)/'Input - Capacity'!$C$15</f>
        <v>97.477263041666646</v>
      </c>
      <c r="G41" s="29">
        <f>(('Input - Activity and Demand'!G$44*'Input - Modelling Variables'!$C$8)*'Input - Throughput'!$D$11)/'Input - Capacity'!$C$15</f>
        <v>104.30067145458331</v>
      </c>
      <c r="H41" s="29">
        <f>(('Input - Activity and Demand'!H$44*'Input - Modelling Variables'!$C$8)*'Input - Throughput'!$D$11)/'Input - Capacity'!$C$15</f>
        <v>111.60171845640414</v>
      </c>
      <c r="I41" s="29">
        <f>(('Input - Activity and Demand'!I$44*'Input - Modelling Variables'!$C$8)*'Input - Throughput'!$D$11)/'Input - Capacity'!$C$15</f>
        <v>119.41383874835243</v>
      </c>
      <c r="J41" s="29">
        <f>(('Input - Activity and Demand'!J$44*'Input - Modelling Variables'!$C$8)*'Input - Throughput'!$D$11)/'Input - Capacity'!$C$15</f>
        <v>127.77280746073708</v>
      </c>
      <c r="K41" s="29">
        <f>(('Input - Activity and Demand'!K$44*'Input - Modelling Variables'!$C$8)*'Input - Throughput'!$D$11)/'Input - Capacity'!$C$15</f>
        <v>136.7169039829887</v>
      </c>
      <c r="L41" s="29">
        <f>(('Input - Activity and Demand'!L$44*'Input - Modelling Variables'!$C$8)*'Input - Throughput'!$D$11)/'Input - Capacity'!$C$15</f>
        <v>146.28708726179789</v>
      </c>
      <c r="M41" s="29">
        <f>(('Input - Activity and Demand'!M$44*'Input - Modelling Variables'!$C$8)*'Input - Throughput'!$D$11)/'Input - Capacity'!$C$15</f>
        <v>156.52718337012377</v>
      </c>
      <c r="N41" s="29">
        <f>(('Input - Activity and Demand'!N$44*'Input - Modelling Variables'!$C$8)*'Input - Throughput'!$D$11)/'Input - Capacity'!$C$15</f>
        <v>167.48408620603243</v>
      </c>
      <c r="O41" s="29">
        <f>(('Input - Activity and Demand'!O$44*'Input - Modelling Variables'!$C$8)*'Input - Throughput'!$D$11)/'Input - Capacity'!$C$15</f>
        <v>179.20797224045472</v>
      </c>
      <c r="P41" s="29">
        <f>(('Input - Activity and Demand'!P$44*'Input - Modelling Variables'!$C$8)*'Input - Throughput'!$D$11)/'Input - Capacity'!$C$15</f>
        <v>191.75253029728657</v>
      </c>
    </row>
    <row r="42" spans="1:16" s="3" customFormat="1" ht="14.55" customHeight="1" x14ac:dyDescent="0.35">
      <c r="A42" s="331"/>
      <c r="B42" s="258"/>
      <c r="C42" s="258"/>
      <c r="D42" s="29">
        <f>(('Input - Activity and Demand'!D$45*'Input - Modelling Variables'!$C$8)*'Input - Throughput'!$D$11)/'Input - Capacity'!$C$15</f>
        <v>85.140416666666653</v>
      </c>
      <c r="E42" s="29">
        <f>(('Input - Activity and Demand'!E$45*'Input - Modelling Variables'!$C$8)*'Input - Throughput'!$D$11)/'Input - Capacity'!$C$15</f>
        <v>94.505862499999992</v>
      </c>
      <c r="F42" s="29">
        <f>(('Input - Activity and Demand'!F$45*'Input - Modelling Variables'!$C$8)*'Input - Throughput'!$D$11)/'Input - Capacity'!$C$15</f>
        <v>104.90150737500001</v>
      </c>
      <c r="G42" s="29">
        <f>(('Input - Activity and Demand'!G$45*'Input - Modelling Variables'!$C$8)*'Input - Throughput'!$D$11)/'Input - Capacity'!$C$15</f>
        <v>116.44067318625001</v>
      </c>
      <c r="H42" s="29">
        <f>(('Input - Activity and Demand'!H$45*'Input - Modelling Variables'!$C$8)*'Input - Throughput'!$D$11)/'Input - Capacity'!$C$15</f>
        <v>129.24914723673751</v>
      </c>
      <c r="I42" s="29">
        <f>(('Input - Activity and Demand'!I$45*'Input - Modelling Variables'!$C$8)*'Input - Throughput'!$D$11)/'Input - Capacity'!$C$15</f>
        <v>143.46655343277862</v>
      </c>
      <c r="J42" s="29">
        <f>(('Input - Activity and Demand'!J$45*'Input - Modelling Variables'!$C$8)*'Input - Throughput'!$D$11)/'Input - Capacity'!$C$15</f>
        <v>159.24787431038428</v>
      </c>
      <c r="K42" s="29">
        <f>(('Input - Activity and Demand'!K$45*'Input - Modelling Variables'!$C$8)*'Input - Throughput'!$D$11)/'Input - Capacity'!$C$15</f>
        <v>176.76514048452651</v>
      </c>
      <c r="L42" s="29">
        <f>(('Input - Activity and Demand'!L$45*'Input - Modelling Variables'!$C$8)*'Input - Throughput'!$D$11)/'Input - Capacity'!$C$15</f>
        <v>196.20930593782447</v>
      </c>
      <c r="M42" s="29">
        <f>(('Input - Activity and Demand'!M$45*'Input - Modelling Variables'!$C$8)*'Input - Throughput'!$D$11)/'Input - Capacity'!$C$15</f>
        <v>217.79232959098516</v>
      </c>
      <c r="N42" s="29">
        <f>(('Input - Activity and Demand'!N$45*'Input - Modelling Variables'!$C$8)*'Input - Throughput'!$D$11)/'Input - Capacity'!$C$15</f>
        <v>241.74948584599355</v>
      </c>
      <c r="O42" s="29">
        <f>(('Input - Activity and Demand'!O$45*'Input - Modelling Variables'!$C$8)*'Input - Throughput'!$D$11)/'Input - Capacity'!$C$15</f>
        <v>268.34192928905287</v>
      </c>
      <c r="P42" s="29">
        <f>(('Input - Activity and Demand'!P$45*'Input - Modelling Variables'!$C$8)*'Input - Throughput'!$D$11)/'Input - Capacity'!$C$15</f>
        <v>297.85954151084866</v>
      </c>
    </row>
    <row r="43" spans="1:16" s="28" customFormat="1" ht="14.55" customHeight="1" x14ac:dyDescent="0.35">
      <c r="A43" s="330" t="s">
        <v>61</v>
      </c>
      <c r="B43" s="257">
        <f>B13</f>
        <v>32.197000000000003</v>
      </c>
      <c r="C43" s="257">
        <f>C13</f>
        <v>33.220375000000004</v>
      </c>
      <c r="D43" s="29">
        <f>(('Input - Activity and Demand'!D$44*'Input - Modelling Variables'!$E$8)*'Input - Throughput'!$D$12)/'Input - Capacity'!$C$15</f>
        <v>34.05616666666667</v>
      </c>
      <c r="E43" s="29">
        <f>(('Input - Activity and Demand'!E$44*'Input - Modelling Variables'!$E$8)*'Input - Throughput'!$D$12)/'Input - Capacity'!$C$15</f>
        <v>36.440098333333331</v>
      </c>
      <c r="F43" s="29">
        <f>(('Input - Activity and Demand'!F$44*'Input - Modelling Variables'!$E$8)*'Input - Throughput'!$D$12)/'Input - Capacity'!$C$15</f>
        <v>38.990905216666661</v>
      </c>
      <c r="G43" s="29">
        <f>(('Input - Activity and Demand'!G$44*'Input - Modelling Variables'!$E$8)*'Input - Throughput'!$D$12)/'Input - Capacity'!$C$15</f>
        <v>41.720268581833324</v>
      </c>
      <c r="H43" s="29">
        <f>(('Input - Activity and Demand'!H$44*'Input - Modelling Variables'!$E$8)*'Input - Throughput'!$D$12)/'Input - Capacity'!$C$15</f>
        <v>44.640687382561659</v>
      </c>
      <c r="I43" s="29">
        <f>(('Input - Activity and Demand'!I$44*'Input - Modelling Variables'!$E$8)*'Input - Throughput'!$D$12)/'Input - Capacity'!$C$15</f>
        <v>47.765535499340977</v>
      </c>
      <c r="J43" s="29">
        <f>(('Input - Activity and Demand'!J$44*'Input - Modelling Variables'!$E$8)*'Input - Throughput'!$D$12)/'Input - Capacity'!$C$15</f>
        <v>51.109122984294849</v>
      </c>
      <c r="K43" s="29">
        <f>(('Input - Activity and Demand'!K$44*'Input - Modelling Variables'!$E$8)*'Input - Throughput'!$D$12)/'Input - Capacity'!$C$15</f>
        <v>54.686761593195477</v>
      </c>
      <c r="L43" s="29">
        <f>(('Input - Activity and Demand'!L$44*'Input - Modelling Variables'!$E$8)*'Input - Throughput'!$D$12)/'Input - Capacity'!$C$15</f>
        <v>58.514834904719173</v>
      </c>
      <c r="M43" s="29">
        <f>(('Input - Activity and Demand'!M$44*'Input - Modelling Variables'!$E$8)*'Input - Throughput'!$D$12)/'Input - Capacity'!$C$15</f>
        <v>62.610873348049509</v>
      </c>
      <c r="N43" s="29">
        <f>(('Input - Activity and Demand'!N$44*'Input - Modelling Variables'!$E$8)*'Input - Throughput'!$D$12)/'Input - Capacity'!$C$15</f>
        <v>66.993634482412972</v>
      </c>
      <c r="O43" s="29">
        <f>(('Input - Activity and Demand'!O$44*'Input - Modelling Variables'!$E$8)*'Input - Throughput'!$D$12)/'Input - Capacity'!$C$15</f>
        <v>71.683188896181903</v>
      </c>
      <c r="P43" s="29">
        <f>(('Input - Activity and Demand'!P$44*'Input - Modelling Variables'!$E$8)*'Input - Throughput'!$D$12)/'Input - Capacity'!$C$15</f>
        <v>76.701012118914633</v>
      </c>
    </row>
    <row r="44" spans="1:16" s="28" customFormat="1" ht="14.55" customHeight="1" x14ac:dyDescent="0.35">
      <c r="A44" s="331"/>
      <c r="B44" s="258"/>
      <c r="C44" s="258"/>
      <c r="D44" s="29">
        <f>(('Input - Activity and Demand'!D$45*'Input - Modelling Variables'!$E$8)*'Input - Throughput'!$D$12)/'Input - Capacity'!$C$15</f>
        <v>34.05616666666667</v>
      </c>
      <c r="E44" s="29">
        <f>(('Input - Activity and Demand'!E$45*'Input - Modelling Variables'!$E$8)*'Input - Throughput'!$D$12)/'Input - Capacity'!$C$15</f>
        <v>37.802345000000003</v>
      </c>
      <c r="F44" s="29">
        <f>(('Input - Activity and Demand'!F$45*'Input - Modelling Variables'!$E$8)*'Input - Throughput'!$D$12)/'Input - Capacity'!$C$15</f>
        <v>41.960602950000002</v>
      </c>
      <c r="G44" s="29">
        <f>(('Input - Activity and Demand'!G$45*'Input - Modelling Variables'!$E$8)*'Input - Throughput'!$D$12)/'Input - Capacity'!$C$15</f>
        <v>46.576269274500007</v>
      </c>
      <c r="H44" s="29">
        <f>(('Input - Activity and Demand'!H$45*'Input - Modelling Variables'!$E$8)*'Input - Throughput'!$D$12)/'Input - Capacity'!$C$15</f>
        <v>51.699658894695006</v>
      </c>
      <c r="I44" s="29">
        <f>(('Input - Activity and Demand'!I$45*'Input - Modelling Variables'!$E$8)*'Input - Throughput'!$D$12)/'Input - Capacity'!$C$15</f>
        <v>57.386621373111453</v>
      </c>
      <c r="J44" s="29">
        <f>(('Input - Activity and Demand'!J$45*'Input - Modelling Variables'!$E$8)*'Input - Throughput'!$D$12)/'Input - Capacity'!$C$15</f>
        <v>63.699149724153713</v>
      </c>
      <c r="K44" s="29">
        <f>(('Input - Activity and Demand'!K$45*'Input - Modelling Variables'!$E$8)*'Input - Throughput'!$D$12)/'Input - Capacity'!$C$15</f>
        <v>70.70605619381061</v>
      </c>
      <c r="L44" s="29">
        <f>(('Input - Activity and Demand'!L$45*'Input - Modelling Variables'!$E$8)*'Input - Throughput'!$D$12)/'Input - Capacity'!$C$15</f>
        <v>78.483722375129801</v>
      </c>
      <c r="M44" s="29">
        <f>(('Input - Activity and Demand'!M$45*'Input - Modelling Variables'!$E$8)*'Input - Throughput'!$D$12)/'Input - Capacity'!$C$15</f>
        <v>87.116931836394073</v>
      </c>
      <c r="N44" s="29">
        <f>(('Input - Activity and Demand'!N$45*'Input - Modelling Variables'!$E$8)*'Input - Throughput'!$D$12)/'Input - Capacity'!$C$15</f>
        <v>96.699794338397425</v>
      </c>
      <c r="O44" s="29">
        <f>(('Input - Activity and Demand'!O$45*'Input - Modelling Variables'!$E$8)*'Input - Throughput'!$D$12)/'Input - Capacity'!$C$15</f>
        <v>107.33677171562115</v>
      </c>
      <c r="P44" s="29">
        <f>(('Input - Activity and Demand'!P$45*'Input - Modelling Variables'!$E$8)*'Input - Throughput'!$D$12)/'Input - Capacity'!$C$15</f>
        <v>119.14381660433948</v>
      </c>
    </row>
    <row r="45" spans="1:16" s="28" customFormat="1" ht="14.55" customHeight="1" x14ac:dyDescent="0.35">
      <c r="A45" s="150" t="s">
        <v>125</v>
      </c>
      <c r="B45" s="105">
        <f t="shared" ref="B45:C48" si="4">B15</f>
        <v>31.280625000000001</v>
      </c>
      <c r="C45" s="105">
        <f t="shared" si="4"/>
        <v>31.727812499999999</v>
      </c>
      <c r="D45" s="29">
        <f>('Input - Activity and Demand'!D$46*'Input - Throughput'!$E$9)/'Input - Capacity'!$C$15</f>
        <v>33.9925</v>
      </c>
      <c r="E45" s="29">
        <f>('Input - Activity and Demand'!E$46*'Input - Throughput'!$E$9)/'Input - Capacity'!$C$15</f>
        <v>36.032049999999991</v>
      </c>
      <c r="F45" s="29">
        <f>('Input - Activity and Demand'!F$46*'Input - Throughput'!$E$9)/'Input - Capacity'!$C$15</f>
        <v>38.193973</v>
      </c>
      <c r="G45" s="29">
        <f>('Input - Activity and Demand'!G$46*'Input - Throughput'!$E$9)/'Input - Capacity'!$C$15</f>
        <v>40.485611379999995</v>
      </c>
      <c r="H45" s="29">
        <f>('Input - Activity and Demand'!H$46*'Input - Throughput'!$E$9)/'Input - Capacity'!$C$15</f>
        <v>42.914748062800001</v>
      </c>
      <c r="I45" s="29">
        <f>('Input - Activity and Demand'!I$46*'Input - Throughput'!$E$9)/'Input - Capacity'!$C$15</f>
        <v>45.489632946568001</v>
      </c>
      <c r="J45" s="29">
        <f>('Input - Activity and Demand'!J$46*'Input - Throughput'!$E$9)/'Input - Capacity'!$C$15</f>
        <v>48.219010923362077</v>
      </c>
      <c r="K45" s="29">
        <f>('Input - Activity and Demand'!K$46*'Input - Throughput'!$E$9)/'Input - Capacity'!$C$15</f>
        <v>51.112151578763807</v>
      </c>
      <c r="L45" s="29">
        <f>('Input - Activity and Demand'!L$46*'Input - Throughput'!$E$9)/'Input - Capacity'!$C$15</f>
        <v>54.17888067348963</v>
      </c>
      <c r="M45" s="29">
        <f>('Input - Activity and Demand'!M$46*'Input - Throughput'!$E$9)/'Input - Capacity'!$C$15</f>
        <v>57.429613513899014</v>
      </c>
      <c r="N45" s="29">
        <f>('Input - Activity and Demand'!N$46*'Input - Throughput'!$E$9)/'Input - Capacity'!$C$15</f>
        <v>60.875390324732948</v>
      </c>
      <c r="O45" s="29">
        <f>('Input - Activity and Demand'!O$46*'Input - Throughput'!$E$9)/'Input - Capacity'!$C$15</f>
        <v>64.527913744216917</v>
      </c>
      <c r="P45" s="29">
        <f>('Input - Activity and Demand'!P$46*'Input - Throughput'!$E$9)/'Input - Capacity'!$C$15</f>
        <v>68.399588568869945</v>
      </c>
    </row>
    <row r="46" spans="1:16" s="28" customFormat="1" ht="14.55" customHeight="1" x14ac:dyDescent="0.35">
      <c r="A46" s="150" t="s">
        <v>126</v>
      </c>
      <c r="B46" s="140">
        <f t="shared" si="4"/>
        <v>32.719374999999999</v>
      </c>
      <c r="C46" s="140">
        <f t="shared" si="4"/>
        <v>32.272187500000001</v>
      </c>
      <c r="D46" s="105">
        <f>IF(D45&lt;'Input - Throughput'!$U$9,('Input - Throughput'!$U$9-D45),0)</f>
        <v>30.0075</v>
      </c>
      <c r="E46" s="201">
        <f>IF(E45&lt;'Input - Throughput'!$U$9,('Input - Throughput'!$U$9-E45),0)</f>
        <v>27.967950000000009</v>
      </c>
      <c r="F46" s="201">
        <f>IF(F45&lt;'Input - Throughput'!$U$9,('Input - Throughput'!$U$9-F45),0)</f>
        <v>25.806027</v>
      </c>
      <c r="G46" s="201">
        <f>IF(G45&lt;'Input - Throughput'!$U$9,('Input - Throughput'!$U$9-G45),0)</f>
        <v>23.514388620000005</v>
      </c>
      <c r="H46" s="201">
        <f>IF(H45&lt;'Input - Throughput'!$U$9,('Input - Throughput'!$U$9-H45),0)</f>
        <v>21.085251937199999</v>
      </c>
      <c r="I46" s="201">
        <f>IF(I45&lt;'Input - Throughput'!$U$9,('Input - Throughput'!$U$9-I45),0)</f>
        <v>18.510367053431999</v>
      </c>
      <c r="J46" s="201">
        <f>IF(J45&lt;'Input - Throughput'!$U$9,('Input - Throughput'!$U$9-J45),0)</f>
        <v>15.780989076637923</v>
      </c>
      <c r="K46" s="201">
        <f>IF(K45&lt;'Input - Throughput'!$U$9,('Input - Throughput'!$U$9-K45),0)</f>
        <v>12.887848421236193</v>
      </c>
      <c r="L46" s="201">
        <f>IF(L45&lt;'Input - Throughput'!$U$9,('Input - Throughput'!$U$9-L45),0)</f>
        <v>9.8211193265103702</v>
      </c>
      <c r="M46" s="201">
        <f>IF(M45&lt;'Input - Throughput'!$U$9,('Input - Throughput'!$U$9-M45),0)</f>
        <v>6.5703864861009862</v>
      </c>
      <c r="N46" s="201">
        <f>IF(N45&lt;'Input - Throughput'!$U$9,('Input - Throughput'!$U$9-N45),0)</f>
        <v>3.1246096752670525</v>
      </c>
      <c r="O46" s="201">
        <f>IF(O45&lt;'Input - Throughput'!$U$9,('Input - Throughput'!$U$9-O45),0)</f>
        <v>0</v>
      </c>
      <c r="P46" s="201">
        <f>IF(P45&lt;'Input - Throughput'!$U$9,('Input - Throughput'!$U$9-P45),0)</f>
        <v>0</v>
      </c>
    </row>
    <row r="47" spans="1:16" s="3" customFormat="1" ht="14.55" customHeight="1" x14ac:dyDescent="0.35">
      <c r="A47" s="77" t="s">
        <v>19</v>
      </c>
      <c r="B47" s="78">
        <f t="shared" si="4"/>
        <v>28.922916666666666</v>
      </c>
      <c r="C47" s="78">
        <f t="shared" si="4"/>
        <v>31.335000000000001</v>
      </c>
      <c r="D47" s="78">
        <f>('Input - Activity and Demand'!D$47*'Input - Throughput'!$D$8)/'Input - Capacity'!$C$15</f>
        <v>33.729444444444439</v>
      </c>
      <c r="E47" s="78">
        <f>('Input - Activity and Demand'!E$47*'Input - Throughput'!$D$8)/'Input - Capacity'!$C$15</f>
        <v>34.066738888888885</v>
      </c>
      <c r="F47" s="78">
        <f>('Input - Activity and Demand'!F$47*'Input - Throughput'!$D$8)/'Input - Capacity'!$C$15</f>
        <v>34.407406277777774</v>
      </c>
      <c r="G47" s="78">
        <f>('Input - Activity and Demand'!G$47*'Input - Throughput'!$D$8)/'Input - Capacity'!$C$15</f>
        <v>34.751480340555545</v>
      </c>
      <c r="H47" s="78">
        <f>('Input - Activity and Demand'!H$47*'Input - Throughput'!$D$8)/'Input - Capacity'!$C$15</f>
        <v>35.098995143961105</v>
      </c>
      <c r="I47" s="78">
        <f>('Input - Activity and Demand'!I$47*'Input - Throughput'!$D$8)/'Input - Capacity'!$C$15</f>
        <v>35.44998509540072</v>
      </c>
      <c r="J47" s="78">
        <f>('Input - Activity and Demand'!J$47*'Input - Throughput'!$D$8)/'Input - Capacity'!$C$15</f>
        <v>35.804484946354719</v>
      </c>
      <c r="K47" s="78">
        <f>('Input - Activity and Demand'!K$47*'Input - Throughput'!$D$8)/'Input - Capacity'!$C$15</f>
        <v>36.162529795818266</v>
      </c>
      <c r="L47" s="78">
        <f>('Input - Activity and Demand'!L$47*'Input - Throughput'!$D$8)/'Input - Capacity'!$C$15</f>
        <v>36.52415509377645</v>
      </c>
      <c r="M47" s="78">
        <f>('Input - Activity and Demand'!M$47*'Input - Throughput'!$D$8)/'Input - Capacity'!$C$15</f>
        <v>36.889396644714218</v>
      </c>
      <c r="N47" s="78">
        <f>('Input - Activity and Demand'!N$47*'Input - Throughput'!$D$8)/'Input - Capacity'!$C$15</f>
        <v>37.258290611161357</v>
      </c>
      <c r="O47" s="78">
        <f>('Input - Activity and Demand'!O$47*'Input - Throughput'!$D$8)/'Input - Capacity'!$C$15</f>
        <v>37.630873517272967</v>
      </c>
      <c r="P47" s="78">
        <f>('Input - Activity and Demand'!P$47*'Input - Throughput'!$D$8)/'Input - Capacity'!$C$15</f>
        <v>38.007182252445695</v>
      </c>
    </row>
    <row r="48" spans="1:16" s="3" customFormat="1" ht="14.55" customHeight="1" x14ac:dyDescent="0.35">
      <c r="A48" s="330" t="s">
        <v>15</v>
      </c>
      <c r="B48" s="257">
        <f t="shared" si="4"/>
        <v>132.10833333333332</v>
      </c>
      <c r="C48" s="257">
        <f t="shared" si="4"/>
        <v>136.38906249999999</v>
      </c>
      <c r="D48" s="29">
        <f>(('Input - Activity and Demand'!D$48*'Input - Modelling Variables'!$C$5)*'Input - Throughput'!$D$5)/'Input - Capacity'!$C$15</f>
        <v>143.84687500000001</v>
      </c>
      <c r="E48" s="29">
        <f>(('Input - Activity and Demand'!E$48*'Input - Modelling Variables'!$C$5)*'Input - Throughput'!$D$5)/'Input - Capacity'!$C$15</f>
        <v>153.91615625</v>
      </c>
      <c r="F48" s="29">
        <f>(('Input - Activity and Demand'!F$48*'Input - Modelling Variables'!$C$5)*'Input - Throughput'!$D$5)/'Input - Capacity'!$C$15</f>
        <v>164.69028718750002</v>
      </c>
      <c r="G48" s="29">
        <f>(('Input - Activity and Demand'!G$48*'Input - Modelling Variables'!$C$5)*'Input - Throughput'!$D$5)/'Input - Capacity'!$C$15</f>
        <v>176.21860729062502</v>
      </c>
      <c r="H48" s="29">
        <f>(('Input - Activity and Demand'!H$48*'Input - Modelling Variables'!$C$5)*'Input - Throughput'!$D$5)/'Input - Capacity'!$C$15</f>
        <v>188.5539098009688</v>
      </c>
      <c r="I48" s="29">
        <f>(('Input - Activity and Demand'!I$48*'Input - Modelling Variables'!$C$5)*'Input - Throughput'!$D$5)/'Input - Capacity'!$C$15</f>
        <v>201.75268348703662</v>
      </c>
      <c r="J48" s="29">
        <f>(('Input - Activity and Demand'!J$48*'Input - Modelling Variables'!$C$5)*'Input - Throughput'!$D$5)/'Input - Capacity'!$C$15</f>
        <v>215.87537133112914</v>
      </c>
      <c r="K48" s="29">
        <f>(('Input - Activity and Demand'!K$48*'Input - Modelling Variables'!$C$5)*'Input - Throughput'!$D$5)/'Input - Capacity'!$C$15</f>
        <v>230.98664732430822</v>
      </c>
      <c r="L48" s="29">
        <f>(('Input - Activity and Demand'!L$48*'Input - Modelling Variables'!$C$5)*'Input - Throughput'!$D$5)/'Input - Capacity'!$C$15</f>
        <v>247.15571263700977</v>
      </c>
      <c r="M48" s="29">
        <f>(('Input - Activity and Demand'!M$48*'Input - Modelling Variables'!$C$5)*'Input - Throughput'!$D$5)/'Input - Capacity'!$C$15</f>
        <v>264.45661252160045</v>
      </c>
      <c r="N48" s="29">
        <f>(('Input - Activity and Demand'!N$48*'Input - Modelling Variables'!$C$5)*'Input - Throughput'!$D$5)/'Input - Capacity'!$C$15</f>
        <v>282.96857539811248</v>
      </c>
      <c r="O48" s="29">
        <f>(('Input - Activity and Demand'!O$48*'Input - Modelling Variables'!$C$5)*'Input - Throughput'!$D$5)/'Input - Capacity'!$C$15</f>
        <v>302.77637567598032</v>
      </c>
      <c r="P48" s="29">
        <f>(('Input - Activity and Demand'!P$48*'Input - Modelling Variables'!$C$5)*'Input - Throughput'!$D$5)/'Input - Capacity'!$C$15</f>
        <v>323.97072197329896</v>
      </c>
    </row>
    <row r="49" spans="1:16" s="3" customFormat="1" ht="14.55" customHeight="1" x14ac:dyDescent="0.35">
      <c r="A49" s="331"/>
      <c r="B49" s="258"/>
      <c r="C49" s="258"/>
      <c r="D49" s="29">
        <f>(('Input - Activity and Demand'!D$49*'Input - Modelling Variables'!$C$5)*'Input - Throughput'!$D$5)/'Input - Capacity'!$C$15</f>
        <v>143.84687500000001</v>
      </c>
      <c r="E49" s="29">
        <f>(('Input - Activity and Demand'!E$49*'Input - Modelling Variables'!$C$5)*'Input - Throughput'!$D$5)/'Input - Capacity'!$C$15</f>
        <v>156.79309375</v>
      </c>
      <c r="F49" s="29">
        <f>(('Input - Activity and Demand'!F$49*'Input - Modelling Variables'!$C$5)*'Input - Throughput'!$D$5)/'Input - Capacity'!$C$15</f>
        <v>170.90447218749998</v>
      </c>
      <c r="G49" s="29">
        <f>(('Input - Activity and Demand'!G$49*'Input - Modelling Variables'!$C$5)*'Input - Throughput'!$D$5)/'Input - Capacity'!$C$15</f>
        <v>186.28587468437502</v>
      </c>
      <c r="H49" s="29">
        <f>(('Input - Activity and Demand'!H$49*'Input - Modelling Variables'!$C$5)*'Input - Throughput'!$D$5)/'Input - Capacity'!$C$15</f>
        <v>203.05160340596876</v>
      </c>
      <c r="I49" s="29">
        <f>(('Input - Activity and Demand'!I$49*'Input - Modelling Variables'!$C$5)*'Input - Throughput'!$D$5)/'Input - Capacity'!$C$15</f>
        <v>221.3262477125059</v>
      </c>
      <c r="J49" s="29">
        <f>(('Input - Activity and Demand'!J$49*'Input - Modelling Variables'!$C$5)*'Input - Throughput'!$D$5)/'Input - Capacity'!$C$15</f>
        <v>241.24561000663144</v>
      </c>
      <c r="K49" s="29">
        <f>(('Input - Activity and Demand'!K$49*'Input - Modelling Variables'!$C$5)*'Input - Throughput'!$D$5)/'Input - Capacity'!$C$15</f>
        <v>262.95771490722825</v>
      </c>
      <c r="L49" s="29">
        <f>(('Input - Activity and Demand'!L$49*'Input - Modelling Variables'!$C$5)*'Input - Throughput'!$D$5)/'Input - Capacity'!$C$15</f>
        <v>286.62390924887882</v>
      </c>
      <c r="M49" s="29">
        <f>(('Input - Activity and Demand'!M$49*'Input - Modelling Variables'!$C$5)*'Input - Throughput'!$D$5)/'Input - Capacity'!$C$15</f>
        <v>312.42006108127788</v>
      </c>
      <c r="N49" s="29">
        <f>(('Input - Activity and Demand'!N$49*'Input - Modelling Variables'!$C$5)*'Input - Throughput'!$D$5)/'Input - Capacity'!$C$15</f>
        <v>340.53786657859291</v>
      </c>
      <c r="O49" s="29">
        <f>(('Input - Activity and Demand'!O$49*'Input - Modelling Variables'!$C$5)*'Input - Throughput'!$D$5)/'Input - Capacity'!$C$15</f>
        <v>371.18627457066623</v>
      </c>
      <c r="P49" s="29">
        <f>(('Input - Activity and Demand'!P$49*'Input - Modelling Variables'!$C$5)*'Input - Throughput'!$D$5)/'Input - Capacity'!$C$15</f>
        <v>404.59303928202621</v>
      </c>
    </row>
    <row r="50" spans="1:16" s="3" customFormat="1" ht="14.55" customHeight="1" x14ac:dyDescent="0.35">
      <c r="A50" s="330" t="s">
        <v>14</v>
      </c>
      <c r="B50" s="257">
        <f>B20</f>
        <v>79.265000000000001</v>
      </c>
      <c r="C50" s="257">
        <f>C20</f>
        <v>81.833437500000002</v>
      </c>
      <c r="D50" s="29">
        <f>(('Input - Activity and Demand'!D$48*'Input - Modelling Variables'!$E$5)*'Input - Throughput'!$D$6)/'Input - Capacity'!$C$15</f>
        <v>86.308125000000004</v>
      </c>
      <c r="E50" s="29">
        <f>(('Input - Activity and Demand'!E$48*'Input - Modelling Variables'!$E$5)*'Input - Throughput'!$D$6)/'Input - Capacity'!$C$15</f>
        <v>92.349693750000014</v>
      </c>
      <c r="F50" s="29">
        <f>(('Input - Activity and Demand'!F$48*'Input - Modelling Variables'!$E$5)*'Input - Throughput'!$D$6)/'Input - Capacity'!$C$15</f>
        <v>98.81417231250002</v>
      </c>
      <c r="G50" s="29">
        <f>(('Input - Activity and Demand'!G$48*'Input - Modelling Variables'!$E$5)*'Input - Throughput'!$D$6)/'Input - Capacity'!$C$15</f>
        <v>105.73116437437501</v>
      </c>
      <c r="H50" s="29">
        <f>(('Input - Activity and Demand'!H$48*'Input - Modelling Variables'!$E$5)*'Input - Throughput'!$D$6)/'Input - Capacity'!$C$15</f>
        <v>113.13234588058125</v>
      </c>
      <c r="I50" s="29">
        <f>(('Input - Activity and Demand'!I$48*'Input - Modelling Variables'!$E$5)*'Input - Throughput'!$D$6)/'Input - Capacity'!$C$15</f>
        <v>121.05161009222195</v>
      </c>
      <c r="J50" s="29">
        <f>(('Input - Activity and Demand'!J$48*'Input - Modelling Variables'!$E$5)*'Input - Throughput'!$D$6)/'Input - Capacity'!$C$15</f>
        <v>129.5252227986775</v>
      </c>
      <c r="K50" s="29">
        <f>(('Input - Activity and Demand'!K$48*'Input - Modelling Variables'!$E$5)*'Input - Throughput'!$D$6)/'Input - Capacity'!$C$15</f>
        <v>138.59198839458492</v>
      </c>
      <c r="L50" s="29">
        <f>(('Input - Activity and Demand'!L$48*'Input - Modelling Variables'!$E$5)*'Input - Throughput'!$D$6)/'Input - Capacity'!$C$15</f>
        <v>148.29342758220585</v>
      </c>
      <c r="M50" s="29">
        <f>(('Input - Activity and Demand'!M$48*'Input - Modelling Variables'!$E$5)*'Input - Throughput'!$D$6)/'Input - Capacity'!$C$15</f>
        <v>158.67396751296025</v>
      </c>
      <c r="N50" s="29">
        <f>(('Input - Activity and Demand'!N$48*'Input - Modelling Variables'!$E$5)*'Input - Throughput'!$D$6)/'Input - Capacity'!$C$15</f>
        <v>169.78114523886745</v>
      </c>
      <c r="O50" s="29">
        <f>(('Input - Activity and Demand'!O$48*'Input - Modelling Variables'!$E$5)*'Input - Throughput'!$D$6)/'Input - Capacity'!$C$15</f>
        <v>181.66582540558818</v>
      </c>
      <c r="P50" s="29">
        <f>(('Input - Activity and Demand'!P$48*'Input - Modelling Variables'!$E$5)*'Input - Throughput'!$D$6)/'Input - Capacity'!$C$15</f>
        <v>194.38243318397937</v>
      </c>
    </row>
    <row r="51" spans="1:16" s="3" customFormat="1" ht="14.55" customHeight="1" x14ac:dyDescent="0.35">
      <c r="A51" s="331"/>
      <c r="B51" s="258"/>
      <c r="C51" s="258"/>
      <c r="D51" s="29">
        <f>(('Input - Activity and Demand'!D$49*'Input - Modelling Variables'!$E$5)*'Input - Throughput'!$D$6)/'Input - Capacity'!$C$15</f>
        <v>86.308125000000004</v>
      </c>
      <c r="E51" s="29">
        <f>(('Input - Activity and Demand'!E$49*'Input - Modelling Variables'!$E$5)*'Input - Throughput'!$D$6)/'Input - Capacity'!$C$15</f>
        <v>94.075856249999987</v>
      </c>
      <c r="F51" s="29">
        <f>(('Input - Activity and Demand'!F$49*'Input - Modelling Variables'!$E$5)*'Input - Throughput'!$D$6)/'Input - Capacity'!$C$15</f>
        <v>102.54268331249999</v>
      </c>
      <c r="G51" s="29">
        <f>(('Input - Activity and Demand'!G$49*'Input - Modelling Variables'!$E$5)*'Input - Throughput'!$D$6)/'Input - Capacity'!$C$15</f>
        <v>111.77152481062498</v>
      </c>
      <c r="H51" s="29">
        <f>(('Input - Activity and Demand'!H$49*'Input - Modelling Variables'!$E$5)*'Input - Throughput'!$D$6)/'Input - Capacity'!$C$15</f>
        <v>121.83096204358124</v>
      </c>
      <c r="I51" s="29">
        <f>(('Input - Activity and Demand'!I$49*'Input - Modelling Variables'!$E$5)*'Input - Throughput'!$D$6)/'Input - Capacity'!$C$15</f>
        <v>132.79574862750354</v>
      </c>
      <c r="J51" s="29">
        <f>(('Input - Activity and Demand'!J$49*'Input - Modelling Variables'!$E$5)*'Input - Throughput'!$D$6)/'Input - Capacity'!$C$15</f>
        <v>144.74736600397887</v>
      </c>
      <c r="K51" s="29">
        <f>(('Input - Activity and Demand'!K$49*'Input - Modelling Variables'!$E$5)*'Input - Throughput'!$D$6)/'Input - Capacity'!$C$15</f>
        <v>157.77462894433694</v>
      </c>
      <c r="L51" s="29">
        <f>(('Input - Activity and Demand'!L$49*'Input - Modelling Variables'!$E$5)*'Input - Throughput'!$D$6)/'Input - Capacity'!$C$15</f>
        <v>171.97434554932727</v>
      </c>
      <c r="M51" s="29">
        <f>(('Input - Activity and Demand'!M$49*'Input - Modelling Variables'!$E$5)*'Input - Throughput'!$D$6)/'Input - Capacity'!$C$15</f>
        <v>187.45203664876672</v>
      </c>
      <c r="N51" s="29">
        <f>(('Input - Activity and Demand'!N$49*'Input - Modelling Variables'!$E$5)*'Input - Throughput'!$D$6)/'Input - Capacity'!$C$15</f>
        <v>204.32271994715575</v>
      </c>
      <c r="O51" s="29">
        <f>(('Input - Activity and Demand'!O$49*'Input - Modelling Variables'!$E$5)*'Input - Throughput'!$D$6)/'Input - Capacity'!$C$15</f>
        <v>222.71176474239977</v>
      </c>
      <c r="P51" s="29">
        <f>(('Input - Activity and Demand'!P$49*'Input - Modelling Variables'!$E$5)*'Input - Throughput'!$D$6)/'Input - Capacity'!$C$15</f>
        <v>242.75582356921572</v>
      </c>
    </row>
    <row r="52" spans="1:16" x14ac:dyDescent="0.45">
      <c r="A52" s="25" t="s">
        <v>95</v>
      </c>
      <c r="B52" s="326">
        <f>SUM(B35:B51)</f>
        <v>550.89598817708327</v>
      </c>
      <c r="C52" s="326">
        <f>SUM(C35:C51)</f>
        <v>564.36231343749978</v>
      </c>
      <c r="D52" s="35">
        <f>SUM(D35:D38,D40:D41,D43,D45:D48,D50)</f>
        <v>581.57703608333327</v>
      </c>
      <c r="E52" s="35">
        <f t="shared" ref="E52:P52" si="5">SUM(E35:E38,E40:E41,E43,E45:E48,E50)</f>
        <v>608.92015699972228</v>
      </c>
      <c r="F52" s="35">
        <f t="shared" si="5"/>
        <v>638.0626696086083</v>
      </c>
      <c r="G52" s="35">
        <f t="shared" si="5"/>
        <v>669.12825056241661</v>
      </c>
      <c r="H52" s="35">
        <f t="shared" si="5"/>
        <v>702.24915943148142</v>
      </c>
      <c r="I52" s="35">
        <f t="shared" si="5"/>
        <v>737.56683632260808</v>
      </c>
      <c r="J52" s="35">
        <f t="shared" si="5"/>
        <v>775.23254117889269</v>
      </c>
      <c r="K52" s="35">
        <f t="shared" si="5"/>
        <v>815.40803767080683</v>
      </c>
      <c r="L52" s="35">
        <f t="shared" si="5"/>
        <v>858.26632479185059</v>
      </c>
      <c r="M52" s="35">
        <f t="shared" si="5"/>
        <v>903.99241948958661</v>
      </c>
      <c r="N52" s="35">
        <f t="shared" si="5"/>
        <v>952.78419389556677</v>
      </c>
      <c r="O52" s="35">
        <f t="shared" si="5"/>
        <v>1005.3811847108608</v>
      </c>
      <c r="P52" s="35">
        <f t="shared" si="5"/>
        <v>1064.8255711853972</v>
      </c>
    </row>
    <row r="53" spans="1:16" x14ac:dyDescent="0.45">
      <c r="A53" s="25" t="s">
        <v>96</v>
      </c>
      <c r="B53" s="327"/>
      <c r="C53" s="327"/>
      <c r="D53" s="35">
        <f>SUM(D35:D37,D39,D40,D42,D44:D47,D49,D51)</f>
        <v>581.57703608333327</v>
      </c>
      <c r="E53" s="35">
        <f t="shared" ref="E53:P53" si="6">SUM(E35:E37,E39,E40,E42,E44:E47,E49,E51)</f>
        <v>618.74750366638887</v>
      </c>
      <c r="F53" s="35">
        <f t="shared" si="6"/>
        <v>659.35771267527502</v>
      </c>
      <c r="G53" s="35">
        <f t="shared" si="6"/>
        <v>703.74141433008333</v>
      </c>
      <c r="H53" s="35">
        <f t="shared" si="6"/>
        <v>752.26534419794802</v>
      </c>
      <c r="I53" s="35">
        <f t="shared" si="6"/>
        <v>805.33252677905693</v>
      </c>
      <c r="J53" s="35">
        <f t="shared" si="6"/>
        <v>863.38591512206074</v>
      </c>
      <c r="K53" s="35">
        <f t="shared" si="6"/>
        <v>926.91239979825286</v>
      </c>
      <c r="L53" s="35">
        <f t="shared" si="6"/>
        <v>996.44722511530358</v>
      </c>
      <c r="M53" s="35">
        <f t="shared" si="6"/>
        <v>1072.5788543733042</v>
      </c>
      <c r="N53" s="35">
        <f t="shared" si="6"/>
        <v>1155.9543302973761</v>
      </c>
      <c r="O53" s="35">
        <f t="shared" si="6"/>
        <v>1247.8130953094151</v>
      </c>
      <c r="P53" s="35">
        <f t="shared" si="6"/>
        <v>1351.7535202010429</v>
      </c>
    </row>
    <row r="54" spans="1:16" x14ac:dyDescent="0.45">
      <c r="A54" s="1"/>
      <c r="B54" s="30"/>
      <c r="C54" s="30"/>
      <c r="D54" s="30"/>
      <c r="E54" s="30"/>
      <c r="F54" s="30"/>
      <c r="G54" s="30"/>
      <c r="H54" s="30"/>
      <c r="I54" s="30"/>
      <c r="J54" s="30"/>
      <c r="K54" s="30"/>
      <c r="L54" s="30"/>
      <c r="M54" s="30"/>
      <c r="N54" s="30"/>
    </row>
    <row r="55" spans="1:16" x14ac:dyDescent="0.45">
      <c r="A55" s="64" t="s">
        <v>40</v>
      </c>
      <c r="B55" s="324" t="s">
        <v>99</v>
      </c>
      <c r="C55" s="324"/>
      <c r="D55" s="325" t="s">
        <v>100</v>
      </c>
      <c r="E55" s="325"/>
      <c r="F55" s="325"/>
      <c r="G55" s="325"/>
      <c r="H55" s="325"/>
      <c r="I55" s="325"/>
      <c r="J55" s="325"/>
      <c r="K55" s="325"/>
      <c r="L55" s="325"/>
      <c r="M55" s="325"/>
      <c r="N55" s="325"/>
      <c r="O55" s="325"/>
      <c r="P55" s="325"/>
    </row>
    <row r="56" spans="1:16" x14ac:dyDescent="0.45">
      <c r="A56" s="25" t="s">
        <v>22</v>
      </c>
      <c r="B56" s="8" t="s">
        <v>35</v>
      </c>
      <c r="C56" s="8" t="s">
        <v>36</v>
      </c>
      <c r="D56" s="8" t="s">
        <v>7</v>
      </c>
      <c r="E56" s="8" t="s">
        <v>37</v>
      </c>
      <c r="F56" s="8" t="s">
        <v>38</v>
      </c>
      <c r="G56" s="33" t="s">
        <v>41</v>
      </c>
      <c r="H56" s="8" t="s">
        <v>42</v>
      </c>
      <c r="I56" s="8" t="s">
        <v>43</v>
      </c>
      <c r="J56" s="8" t="s">
        <v>44</v>
      </c>
      <c r="K56" s="8" t="s">
        <v>45</v>
      </c>
      <c r="L56" s="8" t="s">
        <v>59</v>
      </c>
      <c r="M56" s="8" t="s">
        <v>60</v>
      </c>
      <c r="N56" s="8" t="s">
        <v>70</v>
      </c>
      <c r="O56" s="8" t="s">
        <v>71</v>
      </c>
      <c r="P56" s="8" t="s">
        <v>72</v>
      </c>
    </row>
    <row r="57" spans="1:16" s="3" customFormat="1" ht="14.55" customHeight="1" x14ac:dyDescent="0.35">
      <c r="A57" s="8" t="s">
        <v>169</v>
      </c>
      <c r="B57" s="29">
        <f>B27</f>
        <v>20.323012110726644</v>
      </c>
      <c r="C57" s="29">
        <f>C27</f>
        <v>20.308764705882357</v>
      </c>
      <c r="D57" s="29">
        <f>((('Input - Activity and Demand'!D$38*(1-'Input - Modelling Variables'!$C$11)*'Input - Modelling Variables'!$C$23*'Input - Modelling Variables'!$C$14*(1-'Input - Modelling Variables'!$C$47))+(('Input - Activity and Demand'!D$38*(1-'Input - Modelling Variables'!$C$11))*'Input - Modelling Variables'!$C$26*('Input - Modelling Variables'!$E$14-'Input - Modelling Variables'!$C$17))+('Input - Activity and Demand'!D$38*(1-'Input - Modelling Variables'!$C$11)*'Input - Modelling Variables'!$C$29*'Input - Modelling Variables'!$C$17*(1-'Input - Modelling Variables'!$C$50)))*'Input - Throughput'!$H$14)/'Input - Capacity'!$F$15</f>
        <v>20.408362629757786</v>
      </c>
      <c r="E57" s="29">
        <f>((('Input - Activity and Demand'!E$38*(1-'Input - Modelling Variables'!$C$11)*'Input - Modelling Variables'!$C$23*'Input - Modelling Variables'!$C$14*(1-'Input - Modelling Variables'!$C$47))+(('Input - Activity and Demand'!E$38*(1-'Input - Modelling Variables'!$C$11))*'Input - Modelling Variables'!$C$26*('Input - Modelling Variables'!$E$14-'Input - Modelling Variables'!$C$17))+('Input - Activity and Demand'!E$38*(1-'Input - Modelling Variables'!$C$11)*'Input - Modelling Variables'!$C$29*'Input - Modelling Variables'!$C$17*(1-'Input - Modelling Variables'!$C$50)))*'Input - Throughput'!$H$14)/'Input - Capacity'!$F$15</f>
        <v>20.612446256055364</v>
      </c>
      <c r="F57" s="29">
        <f>((('Input - Activity and Demand'!F$38*(1-'Input - Modelling Variables'!$C$11)*'Input - Modelling Variables'!$C$23*'Input - Modelling Variables'!$C$14*(1-'Input - Modelling Variables'!$C$47))+(('Input - Activity and Demand'!F$38*(1-'Input - Modelling Variables'!$C$11))*'Input - Modelling Variables'!$C$26*('Input - Modelling Variables'!$E$14-'Input - Modelling Variables'!$C$17))+('Input - Activity and Demand'!F$38*(1-'Input - Modelling Variables'!$C$11)*'Input - Modelling Variables'!$C$29*'Input - Modelling Variables'!$C$17*(1-'Input - Modelling Variables'!$C$50)))*'Input - Throughput'!$H$14)/'Input - Capacity'!$F$15</f>
        <v>20.818570718615923</v>
      </c>
      <c r="G57" s="29">
        <f>((('Input - Activity and Demand'!G$38*(1-'Input - Modelling Variables'!$C$11)*'Input - Modelling Variables'!$C$23*'Input - Modelling Variables'!$C$14*(1-'Input - Modelling Variables'!$C$47))+(('Input - Activity and Demand'!G$38*(1-'Input - Modelling Variables'!$C$11))*'Input - Modelling Variables'!$C$26*('Input - Modelling Variables'!$E$14-'Input - Modelling Variables'!$C$17))+('Input - Activity and Demand'!G$38*(1-'Input - Modelling Variables'!$C$11)*'Input - Modelling Variables'!$C$29*'Input - Modelling Variables'!$C$17*(1-'Input - Modelling Variables'!$C$50)))*'Input - Throughput'!$H$14)/'Input - Capacity'!$F$15</f>
        <v>21.02675642580208</v>
      </c>
      <c r="H57" s="29">
        <f>((('Input - Activity and Demand'!H$38*(1-'Input - Modelling Variables'!$C$11)*'Input - Modelling Variables'!$C$23*'Input - Modelling Variables'!$C$14*(1-'Input - Modelling Variables'!$C$47))+(('Input - Activity and Demand'!H$38*(1-'Input - Modelling Variables'!$C$11))*'Input - Modelling Variables'!$C$26*('Input - Modelling Variables'!$E$14-'Input - Modelling Variables'!$C$17))+('Input - Activity and Demand'!H$38*(1-'Input - Modelling Variables'!$C$11)*'Input - Modelling Variables'!$C$29*'Input - Modelling Variables'!$C$17*(1-'Input - Modelling Variables'!$C$50)))*'Input - Throughput'!$H$14)/'Input - Capacity'!$F$15</f>
        <v>21.237023990060102</v>
      </c>
      <c r="I57" s="29">
        <f>((('Input - Activity and Demand'!I$38*(1-'Input - Modelling Variables'!$C$11)*'Input - Modelling Variables'!$C$23*'Input - Modelling Variables'!$C$14*(1-'Input - Modelling Variables'!$C$47))+(('Input - Activity and Demand'!I$38*(1-'Input - Modelling Variables'!$C$11))*'Input - Modelling Variables'!$C$26*('Input - Modelling Variables'!$E$14-'Input - Modelling Variables'!$C$17))+('Input - Activity and Demand'!I$38*(1-'Input - Modelling Variables'!$C$11)*'Input - Modelling Variables'!$C$29*'Input - Modelling Variables'!$C$17*(1-'Input - Modelling Variables'!$C$50)))*'Input - Throughput'!$H$14)/'Input - Capacity'!$F$15</f>
        <v>21.449394229960703</v>
      </c>
      <c r="J57" s="29">
        <f>((('Input - Activity and Demand'!J$38*(1-'Input - Modelling Variables'!$C$11)*'Input - Modelling Variables'!$C$23*'Input - Modelling Variables'!$C$14*(1-'Input - Modelling Variables'!$C$47))+(('Input - Activity and Demand'!J$38*(1-'Input - Modelling Variables'!$C$11))*'Input - Modelling Variables'!$C$26*('Input - Modelling Variables'!$E$14-'Input - Modelling Variables'!$C$17))+('Input - Activity and Demand'!J$38*(1-'Input - Modelling Variables'!$C$11)*'Input - Modelling Variables'!$C$29*'Input - Modelling Variables'!$C$17*(1-'Input - Modelling Variables'!$C$50)))*'Input - Throughput'!$H$14)/'Input - Capacity'!$F$15</f>
        <v>21.663888172260307</v>
      </c>
      <c r="K57" s="29">
        <f>((('Input - Activity and Demand'!K$38*(1-'Input - Modelling Variables'!$C$11)*'Input - Modelling Variables'!$C$23*'Input - Modelling Variables'!$C$14*(1-'Input - Modelling Variables'!$C$47))+(('Input - Activity and Demand'!K$38*(1-'Input - Modelling Variables'!$C$11))*'Input - Modelling Variables'!$C$26*('Input - Modelling Variables'!$E$14-'Input - Modelling Variables'!$C$17))+('Input - Activity and Demand'!K$38*(1-'Input - Modelling Variables'!$C$11)*'Input - Modelling Variables'!$C$29*'Input - Modelling Variables'!$C$17*(1-'Input - Modelling Variables'!$C$50)))*'Input - Throughput'!$H$14)/'Input - Capacity'!$F$15</f>
        <v>21.880527053982913</v>
      </c>
      <c r="L57" s="29">
        <f>((('Input - Activity and Demand'!L$38*(1-'Input - Modelling Variables'!$C$11)*'Input - Modelling Variables'!$C$23*'Input - Modelling Variables'!$C$14*(1-'Input - Modelling Variables'!$C$47))+(('Input - Activity and Demand'!L$38*(1-'Input - Modelling Variables'!$C$11))*'Input - Modelling Variables'!$C$26*('Input - Modelling Variables'!$E$14-'Input - Modelling Variables'!$C$17))+('Input - Activity and Demand'!L$38*(1-'Input - Modelling Variables'!$C$11)*'Input - Modelling Variables'!$C$29*'Input - Modelling Variables'!$C$17*(1-'Input - Modelling Variables'!$C$50)))*'Input - Throughput'!$H$14)/'Input - Capacity'!$F$15</f>
        <v>22.099332324522738</v>
      </c>
      <c r="M57" s="29">
        <f>((('Input - Activity and Demand'!M$38*(1-'Input - Modelling Variables'!$C$11)*'Input - Modelling Variables'!$C$23*'Input - Modelling Variables'!$C$14*(1-'Input - Modelling Variables'!$C$47))+(('Input - Activity and Demand'!M$38*(1-'Input - Modelling Variables'!$C$11))*'Input - Modelling Variables'!$C$26*('Input - Modelling Variables'!$E$14-'Input - Modelling Variables'!$C$17))+('Input - Activity and Demand'!M$38*(1-'Input - Modelling Variables'!$C$11)*'Input - Modelling Variables'!$C$29*'Input - Modelling Variables'!$C$17*(1-'Input - Modelling Variables'!$C$50)))*'Input - Throughput'!$H$14)/'Input - Capacity'!$F$15</f>
        <v>22.320325647767969</v>
      </c>
      <c r="N57" s="29">
        <f>((('Input - Activity and Demand'!N$38*(1-'Input - Modelling Variables'!$C$11)*'Input - Modelling Variables'!$C$23*'Input - Modelling Variables'!$C$14*(1-'Input - Modelling Variables'!$C$47))+(('Input - Activity and Demand'!N$38*(1-'Input - Modelling Variables'!$C$11))*'Input - Modelling Variables'!$C$26*('Input - Modelling Variables'!$E$14-'Input - Modelling Variables'!$C$17))+('Input - Activity and Demand'!N$38*(1-'Input - Modelling Variables'!$C$11)*'Input - Modelling Variables'!$C$29*'Input - Modelling Variables'!$C$17*(1-'Input - Modelling Variables'!$C$50)))*'Input - Throughput'!$H$14)/'Input - Capacity'!$F$15</f>
        <v>22.543528904245647</v>
      </c>
      <c r="O57" s="29">
        <f>((('Input - Activity and Demand'!O$38*(1-'Input - Modelling Variables'!$C$11)*'Input - Modelling Variables'!$C$23*'Input - Modelling Variables'!$C$14*(1-'Input - Modelling Variables'!$C$47))+(('Input - Activity and Demand'!O$38*(1-'Input - Modelling Variables'!$C$11))*'Input - Modelling Variables'!$C$26*('Input - Modelling Variables'!$E$14-'Input - Modelling Variables'!$C$17))+('Input - Activity and Demand'!O$38*(1-'Input - Modelling Variables'!$C$11)*'Input - Modelling Variables'!$C$29*'Input - Modelling Variables'!$C$17*(1-'Input - Modelling Variables'!$C$50)))*'Input - Throughput'!$H$14)/'Input - Capacity'!$F$15</f>
        <v>22.768964193288102</v>
      </c>
      <c r="P57" s="29">
        <f>((('Input - Activity and Demand'!P$38*(1-'Input - Modelling Variables'!$C$11)*'Input - Modelling Variables'!$C$23*'Input - Modelling Variables'!$C$14*(1-'Input - Modelling Variables'!$C$47))+(('Input - Activity and Demand'!P$38*(1-'Input - Modelling Variables'!$C$11))*'Input - Modelling Variables'!$C$26*('Input - Modelling Variables'!$E$14-'Input - Modelling Variables'!$C$17))+('Input - Activity and Demand'!P$38*(1-'Input - Modelling Variables'!$C$11)*'Input - Modelling Variables'!$C$29*'Input - Modelling Variables'!$C$17*(1-'Input - Modelling Variables'!$C$50)))*'Input - Throughput'!$H$14)/'Input - Capacity'!$F$15</f>
        <v>22.996653835220982</v>
      </c>
    </row>
    <row r="58" spans="1:16" s="3" customFormat="1" ht="14.55" customHeight="1" x14ac:dyDescent="0.35">
      <c r="A58" s="8" t="s">
        <v>18</v>
      </c>
      <c r="B58" s="29">
        <f t="shared" ref="B58:C58" si="7">B28</f>
        <v>0</v>
      </c>
      <c r="C58" s="29">
        <f t="shared" si="7"/>
        <v>0</v>
      </c>
      <c r="D58" s="29">
        <f>(('Input - Activity and Demand'!D$39*'Input - Modelling Variables'!$C$32*(1-'Input - Modelling Variables'!$C$53))*'Input - Throughput'!$H$7)/'Input - Capacity'!$F$15</f>
        <v>0</v>
      </c>
      <c r="E58" s="29">
        <f>(('Input - Activity and Demand'!E$39*'Input - Modelling Variables'!$C$32*(1-'Input - Modelling Variables'!$C$53))*'Input - Throughput'!$H$7)/'Input - Capacity'!$F$15</f>
        <v>0</v>
      </c>
      <c r="F58" s="29">
        <f>(('Input - Activity and Demand'!F$39*'Input - Modelling Variables'!$C$32*(1-'Input - Modelling Variables'!$C$53))*'Input - Throughput'!$H$7)/'Input - Capacity'!$F$15</f>
        <v>0</v>
      </c>
      <c r="G58" s="29">
        <f>(('Input - Activity and Demand'!G$39*'Input - Modelling Variables'!$C$32*(1-'Input - Modelling Variables'!$C$53))*'Input - Throughput'!$H$7)/'Input - Capacity'!$F$15</f>
        <v>0</v>
      </c>
      <c r="H58" s="29">
        <f>(('Input - Activity and Demand'!H$39*'Input - Modelling Variables'!$C$32*(1-'Input - Modelling Variables'!$C$53))*'Input - Throughput'!$H$7)/'Input - Capacity'!$F$15</f>
        <v>0</v>
      </c>
      <c r="I58" s="29">
        <f>(('Input - Activity and Demand'!I$39*'Input - Modelling Variables'!$C$32*(1-'Input - Modelling Variables'!$C$53))*'Input - Throughput'!$H$7)/'Input - Capacity'!$F$15</f>
        <v>0</v>
      </c>
      <c r="J58" s="29">
        <f>(('Input - Activity and Demand'!J$39*'Input - Modelling Variables'!$C$32*(1-'Input - Modelling Variables'!$C$53))*'Input - Throughput'!$H$7)/'Input - Capacity'!$F$15</f>
        <v>0</v>
      </c>
      <c r="K58" s="29">
        <f>(('Input - Activity and Demand'!K$39*'Input - Modelling Variables'!$C$32*(1-'Input - Modelling Variables'!$C$53))*'Input - Throughput'!$H$7)/'Input - Capacity'!$F$15</f>
        <v>0</v>
      </c>
      <c r="L58" s="29">
        <f>(('Input - Activity and Demand'!L$39*'Input - Modelling Variables'!$C$32*(1-'Input - Modelling Variables'!$C$53))*'Input - Throughput'!$H$7)/'Input - Capacity'!$F$15</f>
        <v>0</v>
      </c>
      <c r="M58" s="29">
        <f>(('Input - Activity and Demand'!M$39*'Input - Modelling Variables'!$C$32*(1-'Input - Modelling Variables'!$C$53))*'Input - Throughput'!$H$7)/'Input - Capacity'!$F$15</f>
        <v>0</v>
      </c>
      <c r="N58" s="29">
        <f>(('Input - Activity and Demand'!N$39*'Input - Modelling Variables'!$C$32*(1-'Input - Modelling Variables'!$C$53))*'Input - Throughput'!$H$7)/'Input - Capacity'!$F$15</f>
        <v>0</v>
      </c>
      <c r="O58" s="29">
        <f>(('Input - Activity and Demand'!O$39*'Input - Modelling Variables'!$C$32*(1-'Input - Modelling Variables'!$C$53))*'Input - Throughput'!$H$7)/'Input - Capacity'!$F$15</f>
        <v>0</v>
      </c>
      <c r="P58" s="29">
        <f>(('Input - Activity and Demand'!P$39*'Input - Modelling Variables'!$C$32*(1-'Input - Modelling Variables'!$C$53))*'Input - Throughput'!$H$7)/'Input - Capacity'!$F$15</f>
        <v>0</v>
      </c>
    </row>
    <row r="59" spans="1:16" s="3" customFormat="1" ht="14.55" customHeight="1" x14ac:dyDescent="0.35">
      <c r="A59" s="10" t="s">
        <v>116</v>
      </c>
      <c r="B59" s="29">
        <f t="shared" ref="B59:C59" si="8">B29</f>
        <v>0</v>
      </c>
      <c r="C59" s="29">
        <f t="shared" si="8"/>
        <v>0</v>
      </c>
      <c r="D59" s="29">
        <f>(('Input - Activity and Demand'!D$40*'Input - Modelling Variables'!$C$35)*'Input - Throughput'!$H$10)/'Input - Capacity'!$F$15</f>
        <v>0</v>
      </c>
      <c r="E59" s="29">
        <f>(('Input - Activity and Demand'!E$40*'Input - Modelling Variables'!$C$35)*'Input - Throughput'!$H$10)/'Input - Capacity'!$F$15</f>
        <v>0</v>
      </c>
      <c r="F59" s="29">
        <f>(('Input - Activity and Demand'!F$40*'Input - Modelling Variables'!$C$35)*'Input - Throughput'!$H$10)/'Input - Capacity'!$F$15</f>
        <v>0</v>
      </c>
      <c r="G59" s="29">
        <f>(('Input - Activity and Demand'!G$40*'Input - Modelling Variables'!$C$35)*'Input - Throughput'!$H$10)/'Input - Capacity'!$F$15</f>
        <v>0</v>
      </c>
      <c r="H59" s="29">
        <f>(('Input - Activity and Demand'!H$40*'Input - Modelling Variables'!$C$35)*'Input - Throughput'!$H$10)/'Input - Capacity'!$F$15</f>
        <v>0</v>
      </c>
      <c r="I59" s="29">
        <f>(('Input - Activity and Demand'!I$40*'Input - Modelling Variables'!$C$35)*'Input - Throughput'!$H$10)/'Input - Capacity'!$F$15</f>
        <v>0</v>
      </c>
      <c r="J59" s="29">
        <f>(('Input - Activity and Demand'!J$40*'Input - Modelling Variables'!$C$35)*'Input - Throughput'!$H$10)/'Input - Capacity'!$F$15</f>
        <v>0</v>
      </c>
      <c r="K59" s="29">
        <f>(('Input - Activity and Demand'!K$40*'Input - Modelling Variables'!$C$35)*'Input - Throughput'!$H$10)/'Input - Capacity'!$F$15</f>
        <v>0</v>
      </c>
      <c r="L59" s="29">
        <f>(('Input - Activity and Demand'!L$40*'Input - Modelling Variables'!$C$35)*'Input - Throughput'!$H$10)/'Input - Capacity'!$F$15</f>
        <v>0</v>
      </c>
      <c r="M59" s="29">
        <f>(('Input - Activity and Demand'!M$40*'Input - Modelling Variables'!$C$35)*'Input - Throughput'!$H$10)/'Input - Capacity'!$F$15</f>
        <v>0</v>
      </c>
      <c r="N59" s="29">
        <f>(('Input - Activity and Demand'!N$40*'Input - Modelling Variables'!$C$35)*'Input - Throughput'!$H$10)/'Input - Capacity'!$F$15</f>
        <v>0</v>
      </c>
      <c r="O59" s="29">
        <f>(('Input - Activity and Demand'!O$40*'Input - Modelling Variables'!$C$35)*'Input - Throughput'!$H$10)/'Input - Capacity'!$F$15</f>
        <v>0</v>
      </c>
      <c r="P59" s="29">
        <f>(('Input - Activity and Demand'!P$40*'Input - Modelling Variables'!$C$35)*'Input - Throughput'!$H$10)/'Input - Capacity'!$F$15</f>
        <v>0</v>
      </c>
    </row>
    <row r="60" spans="1:16" s="3" customFormat="1" ht="14.55" customHeight="1" x14ac:dyDescent="0.35">
      <c r="A60" s="137" t="s">
        <v>39</v>
      </c>
      <c r="B60" s="38">
        <f>SUM(B57:B59)</f>
        <v>20.323012110726644</v>
      </c>
      <c r="C60" s="38">
        <f t="shared" ref="C60:P60" si="9">SUM(C57:C59)</f>
        <v>20.308764705882357</v>
      </c>
      <c r="D60" s="38">
        <f t="shared" si="9"/>
        <v>20.408362629757786</v>
      </c>
      <c r="E60" s="38">
        <f t="shared" si="9"/>
        <v>20.612446256055364</v>
      </c>
      <c r="F60" s="38">
        <f t="shared" si="9"/>
        <v>20.818570718615923</v>
      </c>
      <c r="G60" s="38">
        <f t="shared" si="9"/>
        <v>21.02675642580208</v>
      </c>
      <c r="H60" s="38">
        <f t="shared" si="9"/>
        <v>21.237023990060102</v>
      </c>
      <c r="I60" s="38">
        <f t="shared" si="9"/>
        <v>21.449394229960703</v>
      </c>
      <c r="J60" s="38">
        <f t="shared" si="9"/>
        <v>21.663888172260307</v>
      </c>
      <c r="K60" s="38">
        <f t="shared" si="9"/>
        <v>21.880527053982913</v>
      </c>
      <c r="L60" s="38">
        <f t="shared" si="9"/>
        <v>22.099332324522738</v>
      </c>
      <c r="M60" s="38">
        <f t="shared" si="9"/>
        <v>22.320325647767969</v>
      </c>
      <c r="N60" s="38">
        <f t="shared" si="9"/>
        <v>22.543528904245647</v>
      </c>
      <c r="O60" s="38">
        <f t="shared" si="9"/>
        <v>22.768964193288102</v>
      </c>
      <c r="P60" s="38">
        <f t="shared" si="9"/>
        <v>22.996653835220982</v>
      </c>
    </row>
    <row r="62" spans="1:16" ht="20" hidden="1" customHeight="1" x14ac:dyDescent="0.45">
      <c r="A62" s="151" t="s">
        <v>230</v>
      </c>
      <c r="B62" s="8" t="s">
        <v>73</v>
      </c>
      <c r="C62" s="8" t="s">
        <v>74</v>
      </c>
      <c r="D62" s="8" t="s">
        <v>75</v>
      </c>
      <c r="E62" s="8" t="s">
        <v>76</v>
      </c>
      <c r="F62" s="8" t="s">
        <v>77</v>
      </c>
      <c r="G62" s="8" t="s">
        <v>78</v>
      </c>
      <c r="H62" s="8" t="s">
        <v>79</v>
      </c>
      <c r="I62" s="8" t="s">
        <v>87</v>
      </c>
      <c r="J62" s="8" t="s">
        <v>86</v>
      </c>
      <c r="K62" s="8" t="s">
        <v>85</v>
      </c>
      <c r="L62" s="8" t="s">
        <v>84</v>
      </c>
      <c r="M62" s="8" t="s">
        <v>83</v>
      </c>
      <c r="N62" s="8" t="s">
        <v>82</v>
      </c>
      <c r="O62" s="8" t="s">
        <v>81</v>
      </c>
      <c r="P62" s="8" t="s">
        <v>80</v>
      </c>
    </row>
    <row r="63" spans="1:16" hidden="1" x14ac:dyDescent="0.45">
      <c r="A63" s="77" t="s">
        <v>189</v>
      </c>
      <c r="B63" s="29">
        <f>B22</f>
        <v>550.89598817708327</v>
      </c>
      <c r="C63" s="29">
        <f>C22</f>
        <v>564.36231343749978</v>
      </c>
      <c r="D63" s="29">
        <f>D22</f>
        <v>573.58493829166662</v>
      </c>
      <c r="E63" s="29">
        <f>E22</f>
        <v>487.86230569791667</v>
      </c>
      <c r="F63" s="29">
        <f>F22</f>
        <v>537.35383102083335</v>
      </c>
      <c r="G63" s="29"/>
      <c r="H63" s="29"/>
      <c r="I63" s="29"/>
      <c r="J63" s="29"/>
      <c r="K63" s="29"/>
      <c r="L63" s="29"/>
      <c r="M63" s="29"/>
      <c r="N63" s="29"/>
      <c r="O63" s="29"/>
      <c r="P63" s="29"/>
    </row>
    <row r="64" spans="1:16" hidden="1" x14ac:dyDescent="0.45">
      <c r="A64" s="37" t="s">
        <v>185</v>
      </c>
      <c r="B64" s="29"/>
      <c r="C64" s="29"/>
      <c r="D64" s="29"/>
      <c r="E64" s="29"/>
      <c r="F64" s="29">
        <f>F63</f>
        <v>537.35383102083335</v>
      </c>
      <c r="G64" s="29">
        <f t="shared" ref="G64:P64" si="10">G22</f>
        <v>562.81251849770831</v>
      </c>
      <c r="H64" s="29">
        <f t="shared" si="10"/>
        <v>589.95585114935216</v>
      </c>
      <c r="I64" s="29">
        <f t="shared" si="10"/>
        <v>618.89987455826224</v>
      </c>
      <c r="J64" s="29">
        <f t="shared" si="10"/>
        <v>649.76869789202897</v>
      </c>
      <c r="K64" s="29">
        <f t="shared" si="10"/>
        <v>682.69505584912679</v>
      </c>
      <c r="L64" s="29">
        <f t="shared" si="10"/>
        <v>717.82090982289253</v>
      </c>
      <c r="M64" s="29">
        <f t="shared" si="10"/>
        <v>755.29809102306945</v>
      </c>
      <c r="N64" s="29">
        <f t="shared" si="10"/>
        <v>795.28898848574136</v>
      </c>
      <c r="O64" s="29">
        <f t="shared" si="10"/>
        <v>837.96728510732146</v>
      </c>
      <c r="P64" s="29">
        <f t="shared" si="10"/>
        <v>883.51874505740966</v>
      </c>
    </row>
    <row r="65" spans="1:16" hidden="1" x14ac:dyDescent="0.45">
      <c r="A65" s="37" t="s">
        <v>186</v>
      </c>
      <c r="B65" s="29"/>
      <c r="C65" s="29"/>
      <c r="D65" s="29"/>
      <c r="E65" s="29"/>
      <c r="F65" s="29">
        <f>F64</f>
        <v>537.35383102083335</v>
      </c>
      <c r="G65" s="29">
        <f t="shared" ref="G65:P65" si="11">G23</f>
        <v>571.67527766437502</v>
      </c>
      <c r="H65" s="29">
        <f t="shared" si="11"/>
        <v>609.15273889935213</v>
      </c>
      <c r="I65" s="29">
        <f t="shared" si="11"/>
        <v>650.08939599792893</v>
      </c>
      <c r="J65" s="29">
        <f t="shared" si="11"/>
        <v>694.81805843262907</v>
      </c>
      <c r="K65" s="29">
        <f t="shared" si="11"/>
        <v>743.70409751973386</v>
      </c>
      <c r="L65" s="29">
        <f t="shared" si="11"/>
        <v>797.14867399513764</v>
      </c>
      <c r="M65" s="29">
        <f t="shared" si="11"/>
        <v>855.59228929698952</v>
      </c>
      <c r="N65" s="29">
        <f t="shared" si="11"/>
        <v>919.51869337623634</v>
      </c>
      <c r="O65" s="29">
        <f t="shared" si="11"/>
        <v>989.45918521766782</v>
      </c>
      <c r="P65" s="29">
        <f t="shared" si="11"/>
        <v>1065.9973459630378</v>
      </c>
    </row>
    <row r="66" spans="1:16" hidden="1" x14ac:dyDescent="0.45">
      <c r="A66" s="37" t="s">
        <v>187</v>
      </c>
      <c r="B66" s="29"/>
      <c r="C66" s="29"/>
      <c r="D66" s="29">
        <f t="shared" ref="D66:P66" si="12">D52</f>
        <v>581.57703608333327</v>
      </c>
      <c r="E66" s="29">
        <f t="shared" si="12"/>
        <v>608.92015699972228</v>
      </c>
      <c r="F66" s="29">
        <f t="shared" si="12"/>
        <v>638.0626696086083</v>
      </c>
      <c r="G66" s="29">
        <f t="shared" si="12"/>
        <v>669.12825056241661</v>
      </c>
      <c r="H66" s="29">
        <f t="shared" si="12"/>
        <v>702.24915943148142</v>
      </c>
      <c r="I66" s="29">
        <f t="shared" si="12"/>
        <v>737.56683632260808</v>
      </c>
      <c r="J66" s="29">
        <f t="shared" si="12"/>
        <v>775.23254117889269</v>
      </c>
      <c r="K66" s="29">
        <f t="shared" si="12"/>
        <v>815.40803767080683</v>
      </c>
      <c r="L66" s="29">
        <f t="shared" si="12"/>
        <v>858.26632479185059</v>
      </c>
      <c r="M66" s="29">
        <f t="shared" si="12"/>
        <v>903.99241948958661</v>
      </c>
      <c r="N66" s="29">
        <f t="shared" si="12"/>
        <v>952.78419389556677</v>
      </c>
      <c r="O66" s="29">
        <f t="shared" si="12"/>
        <v>1005.3811847108608</v>
      </c>
      <c r="P66" s="29">
        <f t="shared" si="12"/>
        <v>1064.8255711853972</v>
      </c>
    </row>
    <row r="67" spans="1:16" hidden="1" x14ac:dyDescent="0.45">
      <c r="A67" s="37" t="s">
        <v>188</v>
      </c>
      <c r="B67" s="29"/>
      <c r="C67" s="29"/>
      <c r="D67" s="29">
        <f t="shared" ref="D67:P67" si="13">D53</f>
        <v>581.57703608333327</v>
      </c>
      <c r="E67" s="29">
        <f t="shared" si="13"/>
        <v>618.74750366638887</v>
      </c>
      <c r="F67" s="29">
        <f t="shared" si="13"/>
        <v>659.35771267527502</v>
      </c>
      <c r="G67" s="29">
        <f t="shared" si="13"/>
        <v>703.74141433008333</v>
      </c>
      <c r="H67" s="29">
        <f t="shared" si="13"/>
        <v>752.26534419794802</v>
      </c>
      <c r="I67" s="29">
        <f t="shared" si="13"/>
        <v>805.33252677905693</v>
      </c>
      <c r="J67" s="29">
        <f t="shared" si="13"/>
        <v>863.38591512206074</v>
      </c>
      <c r="K67" s="29">
        <f t="shared" si="13"/>
        <v>926.91239979825286</v>
      </c>
      <c r="L67" s="29">
        <f t="shared" si="13"/>
        <v>996.44722511530358</v>
      </c>
      <c r="M67" s="29">
        <f t="shared" si="13"/>
        <v>1072.5788543733042</v>
      </c>
      <c r="N67" s="29">
        <f t="shared" si="13"/>
        <v>1155.9543302973761</v>
      </c>
      <c r="O67" s="29">
        <f t="shared" si="13"/>
        <v>1247.8130953094151</v>
      </c>
      <c r="P67" s="29">
        <f t="shared" si="13"/>
        <v>1351.7535202010429</v>
      </c>
    </row>
    <row r="68" spans="1:16" hidden="1" x14ac:dyDescent="0.45">
      <c r="A68" s="156" t="s">
        <v>236</v>
      </c>
      <c r="B68" s="29"/>
      <c r="C68" s="29"/>
      <c r="D68" s="29"/>
      <c r="E68" s="29"/>
      <c r="F68" s="29"/>
      <c r="G68" s="29">
        <f>((G67-G64)/2)+G64</f>
        <v>633.27696641389582</v>
      </c>
      <c r="H68" s="29">
        <f t="shared" ref="H68:P68" si="14">((H67-H64)/2)+H64</f>
        <v>671.11059767365009</v>
      </c>
      <c r="I68" s="29">
        <f t="shared" si="14"/>
        <v>712.11620066865953</v>
      </c>
      <c r="J68" s="29">
        <f t="shared" si="14"/>
        <v>756.5773065070448</v>
      </c>
      <c r="K68" s="29">
        <f t="shared" si="14"/>
        <v>804.80372782368977</v>
      </c>
      <c r="L68" s="29">
        <f t="shared" si="14"/>
        <v>857.134067469098</v>
      </c>
      <c r="M68" s="29">
        <f t="shared" si="14"/>
        <v>913.93847269818684</v>
      </c>
      <c r="N68" s="29">
        <f t="shared" si="14"/>
        <v>975.62165939155875</v>
      </c>
      <c r="O68" s="29">
        <f t="shared" si="14"/>
        <v>1042.8901902083683</v>
      </c>
      <c r="P68" s="29">
        <f t="shared" si="14"/>
        <v>1117.6361326292263</v>
      </c>
    </row>
    <row r="69" spans="1:16" hidden="1" x14ac:dyDescent="0.45">
      <c r="A69" s="37" t="s">
        <v>101</v>
      </c>
      <c r="B69" s="29">
        <f>IF('Input - Workforce Supply'!F6=0,NA(),'Input - Workforce Supply'!F6)</f>
        <v>374.09700000000004</v>
      </c>
      <c r="C69" s="29">
        <f>IF('Input - Workforce Supply'!G6=0,NA(),'Input - Workforce Supply'!G6)</f>
        <v>364.16200000000003</v>
      </c>
      <c r="D69" s="29">
        <f>IF('Input - Workforce Supply'!H6=0,NA(),'Input - Workforce Supply'!H6)</f>
        <v>366.1</v>
      </c>
      <c r="E69" s="29">
        <f>IF('Input - Workforce Supply'!I6=0,NA(),'Input - Workforce Supply'!I6)</f>
        <v>367.73699999999997</v>
      </c>
      <c r="F69" s="29">
        <f>IF('Input - Workforce Supply'!J6=0,NA(),'Input - Workforce Supply'!J6)</f>
        <v>380.56099999999998</v>
      </c>
      <c r="G69" s="29" t="e">
        <f>IF('Input - Workforce Supply'!K6=0,NA(),'Input - Workforce Supply'!K6)</f>
        <v>#N/A</v>
      </c>
      <c r="H69" s="29" t="e">
        <f>IF('Input - Workforce Supply'!L6=0,NA(),'Input - Workforce Supply'!L6)</f>
        <v>#N/A</v>
      </c>
      <c r="I69" s="29" t="e">
        <f>IF('Input - Workforce Supply'!M6=0,NA(),'Input - Workforce Supply'!M6)</f>
        <v>#N/A</v>
      </c>
      <c r="J69" s="29" t="e">
        <f>IF('Input - Workforce Supply'!N6=0,NA(),'Input - Workforce Supply'!N6)</f>
        <v>#N/A</v>
      </c>
      <c r="K69" s="29" t="e">
        <f>IF('Input - Workforce Supply'!O6=0,NA(),'Input - Workforce Supply'!O6)</f>
        <v>#N/A</v>
      </c>
      <c r="L69" s="29" t="e">
        <f>IF('Input - Workforce Supply'!P6=0,NA(),'Input - Workforce Supply'!P6)</f>
        <v>#N/A</v>
      </c>
      <c r="M69" s="29" t="e">
        <f>IF('Input - Workforce Supply'!Q6=0,NA(),'Input - Workforce Supply'!Q6)</f>
        <v>#N/A</v>
      </c>
      <c r="N69" s="29" t="e">
        <f>IF('Input - Workforce Supply'!R6=0,NA(),'Input - Workforce Supply'!R6)</f>
        <v>#N/A</v>
      </c>
      <c r="O69" s="29" t="e">
        <f>IF('Input - Workforce Supply'!S6=0,NA(),'Input - Workforce Supply'!S6)</f>
        <v>#N/A</v>
      </c>
      <c r="P69" s="29" t="e">
        <f>IF('Input - Workforce Supply'!T6=0,NA(),'Input - Workforce Supply'!T6)</f>
        <v>#N/A</v>
      </c>
    </row>
    <row r="70" spans="1:16" hidden="1" x14ac:dyDescent="0.45">
      <c r="A70" s="37" t="s">
        <v>102</v>
      </c>
      <c r="B70" s="29">
        <f>IF('Input - Workforce Supply'!F7=0,NA(),'Input - Workforce Supply'!F7)</f>
        <v>314.64699999999999</v>
      </c>
      <c r="C70" s="29">
        <f>IF('Input - Workforce Supply'!G7=0,NA(),'Input - Workforce Supply'!G7)</f>
        <v>320.96199999999999</v>
      </c>
      <c r="D70" s="29">
        <f>IF('Input - Workforce Supply'!H7=0,NA(),'Input - Workforce Supply'!H7)</f>
        <v>329.4</v>
      </c>
      <c r="E70" s="29">
        <f>IF('Input - Workforce Supply'!I7=0,NA(),'Input - Workforce Supply'!I7)</f>
        <v>342.03700000000003</v>
      </c>
      <c r="F70" s="29">
        <f>IF('Input - Workforce Supply'!J7=0,NA(),'Input - Workforce Supply'!J7)</f>
        <v>358.45100000000002</v>
      </c>
      <c r="G70" s="29" t="e">
        <f>IF('Input - Workforce Supply'!K7=0,NA(),'Input - Workforce Supply'!K7)</f>
        <v>#N/A</v>
      </c>
      <c r="H70" s="29" t="e">
        <f>IF('Input - Workforce Supply'!L7=0,NA(),'Input - Workforce Supply'!L7)</f>
        <v>#N/A</v>
      </c>
      <c r="I70" s="29" t="e">
        <f>IF('Input - Workforce Supply'!M7=0,NA(),'Input - Workforce Supply'!M7)</f>
        <v>#N/A</v>
      </c>
      <c r="J70" s="29" t="e">
        <f>IF('Input - Workforce Supply'!N7=0,NA(),'Input - Workforce Supply'!N7)</f>
        <v>#N/A</v>
      </c>
      <c r="K70" s="29" t="e">
        <f>IF('Input - Workforce Supply'!O7=0,NA(),'Input - Workforce Supply'!O7)</f>
        <v>#N/A</v>
      </c>
      <c r="L70" s="29" t="e">
        <f>IF('Input - Workforce Supply'!P7=0,NA(),'Input - Workforce Supply'!P7)</f>
        <v>#N/A</v>
      </c>
      <c r="M70" s="29" t="e">
        <f>IF('Input - Workforce Supply'!Q7=0,NA(),'Input - Workforce Supply'!Q7)</f>
        <v>#N/A</v>
      </c>
      <c r="N70" s="29" t="e">
        <f>IF('Input - Workforce Supply'!R7=0,NA(),'Input - Workforce Supply'!R7)</f>
        <v>#N/A</v>
      </c>
      <c r="O70" s="29" t="e">
        <f>IF('Input - Workforce Supply'!S7=0,NA(),'Input - Workforce Supply'!S7)</f>
        <v>#N/A</v>
      </c>
      <c r="P70" s="29" t="e">
        <f>IF('Input - Workforce Supply'!T7=0,NA(),'Input - Workforce Supply'!T7)</f>
        <v>#N/A</v>
      </c>
    </row>
    <row r="71" spans="1:16" hidden="1" x14ac:dyDescent="0.45">
      <c r="A71" s="155" t="s">
        <v>235</v>
      </c>
      <c r="B71" s="29" t="e">
        <f>IF('Input - Workforce Supply'!F8=0,NA(),'Input - Workforce Supply'!F8)</f>
        <v>#N/A</v>
      </c>
      <c r="C71" s="29" t="e">
        <f>IF('Input - Workforce Supply'!G8=0,NA(),'Input - Workforce Supply'!G8)</f>
        <v>#N/A</v>
      </c>
      <c r="D71" s="29" t="e">
        <f>IF('Input - Workforce Supply'!H8=0,NA(),'Input - Workforce Supply'!H8)</f>
        <v>#N/A</v>
      </c>
      <c r="E71" s="29" t="e">
        <f>IF('Input - Workforce Supply'!I8=0,NA(),'Input - Workforce Supply'!I8)</f>
        <v>#N/A</v>
      </c>
      <c r="F71" s="29">
        <f>IF('Input - Workforce Supply'!J8=0,NA(),'Input - Workforce Supply'!J8)</f>
        <v>358.45100000000002</v>
      </c>
      <c r="G71" s="29">
        <f>IF('Input - Workforce Supply'!K8=0,NA(),'Input - Workforce Supply'!K8)</f>
        <v>367.94215503347209</v>
      </c>
      <c r="H71" s="29">
        <f>IF('Input - Workforce Supply'!L8=0,NA(),'Input - Workforce Supply'!L8)</f>
        <v>380.58734321579379</v>
      </c>
      <c r="I71" s="29">
        <f>IF('Input - Workforce Supply'!M8=0,NA(),'Input - Workforce Supply'!M8)</f>
        <v>391.58632109882342</v>
      </c>
      <c r="J71" s="29">
        <f>IF('Input - Workforce Supply'!N8=0,NA(),'Input - Workforce Supply'!N8)</f>
        <v>408.39595503291508</v>
      </c>
      <c r="K71" s="29">
        <f>IF('Input - Workforce Supply'!O8=0,NA(),'Input - Workforce Supply'!O8)</f>
        <v>426.21851356094669</v>
      </c>
      <c r="L71" s="29">
        <f>IF('Input - Workforce Supply'!P8=0,NA(),'Input - Workforce Supply'!P8)</f>
        <v>443.97755118699263</v>
      </c>
      <c r="M71" s="29">
        <f>IF('Input - Workforce Supply'!Q8=0,NA(),'Input - Workforce Supply'!Q8)</f>
        <v>460.04233627941738</v>
      </c>
      <c r="N71" s="29">
        <f>IF('Input - Workforce Supply'!R8=0,NA(),'Input - Workforce Supply'!R8)</f>
        <v>475.14937596954621</v>
      </c>
      <c r="O71" s="29">
        <f>IF('Input - Workforce Supply'!S8=0,NA(),'Input - Workforce Supply'!S8)</f>
        <v>489.01159214389241</v>
      </c>
      <c r="P71" s="29" t="e">
        <f>IF('Input - Workforce Supply'!T8=0,NA(),'Input - Workforce Supply'!T8)</f>
        <v>#N/A</v>
      </c>
    </row>
    <row r="72" spans="1:16" hidden="1" x14ac:dyDescent="0.45"/>
    <row r="73" spans="1:16" ht="20" hidden="1" customHeight="1" x14ac:dyDescent="0.45">
      <c r="A73" s="151" t="s">
        <v>231</v>
      </c>
      <c r="B73" s="8" t="s">
        <v>73</v>
      </c>
      <c r="C73" s="8" t="s">
        <v>74</v>
      </c>
      <c r="D73" s="8" t="s">
        <v>75</v>
      </c>
      <c r="E73" s="8" t="s">
        <v>76</v>
      </c>
      <c r="F73" s="8" t="s">
        <v>77</v>
      </c>
      <c r="G73" s="8" t="s">
        <v>78</v>
      </c>
      <c r="H73" s="8" t="s">
        <v>79</v>
      </c>
      <c r="I73" s="8" t="s">
        <v>87</v>
      </c>
      <c r="J73" s="8" t="s">
        <v>86</v>
      </c>
      <c r="K73" s="8" t="s">
        <v>85</v>
      </c>
      <c r="L73" s="8" t="s">
        <v>84</v>
      </c>
      <c r="M73" s="8" t="s">
        <v>83</v>
      </c>
      <c r="N73" s="8" t="s">
        <v>82</v>
      </c>
      <c r="O73" s="8" t="s">
        <v>81</v>
      </c>
      <c r="P73" s="8" t="s">
        <v>80</v>
      </c>
    </row>
    <row r="74" spans="1:16" hidden="1" x14ac:dyDescent="0.45">
      <c r="A74" s="77" t="s">
        <v>189</v>
      </c>
      <c r="B74" s="29">
        <f>B30</f>
        <v>20.323012110726644</v>
      </c>
      <c r="C74" s="29">
        <f t="shared" ref="C74:F74" si="15">C30</f>
        <v>20.308764705882357</v>
      </c>
      <c r="D74" s="29">
        <f t="shared" si="15"/>
        <v>19.889900346020767</v>
      </c>
      <c r="E74" s="29">
        <f t="shared" si="15"/>
        <v>14.550636332179932</v>
      </c>
      <c r="F74" s="29">
        <f t="shared" si="15"/>
        <v>17.591275432525954</v>
      </c>
      <c r="G74" s="29"/>
      <c r="H74" s="29"/>
      <c r="I74" s="29"/>
      <c r="J74" s="29"/>
      <c r="K74" s="29"/>
      <c r="L74" s="29"/>
      <c r="M74" s="29"/>
      <c r="N74" s="29"/>
      <c r="O74" s="29"/>
      <c r="P74" s="29"/>
    </row>
    <row r="75" spans="1:16" hidden="1" x14ac:dyDescent="0.45">
      <c r="A75" s="90" t="s">
        <v>232</v>
      </c>
      <c r="B75" s="29"/>
      <c r="C75" s="29"/>
      <c r="D75" s="29"/>
      <c r="E75" s="29"/>
      <c r="F75" s="29"/>
      <c r="G75" s="29">
        <f>G30</f>
        <v>17.767188186851214</v>
      </c>
      <c r="H75" s="29">
        <f t="shared" ref="H75:P75" si="16">H30</f>
        <v>17.944860068719724</v>
      </c>
      <c r="I75" s="29">
        <f t="shared" si="16"/>
        <v>18.124308669406922</v>
      </c>
      <c r="J75" s="29">
        <f t="shared" si="16"/>
        <v>18.305551756100993</v>
      </c>
      <c r="K75" s="29">
        <f t="shared" si="16"/>
        <v>18.488607273662002</v>
      </c>
      <c r="L75" s="29">
        <f t="shared" si="16"/>
        <v>18.673493346398622</v>
      </c>
      <c r="M75" s="29">
        <f t="shared" si="16"/>
        <v>18.860228279862607</v>
      </c>
      <c r="N75" s="29">
        <f t="shared" si="16"/>
        <v>19.048830562661234</v>
      </c>
      <c r="O75" s="29">
        <f t="shared" si="16"/>
        <v>19.239318868287842</v>
      </c>
      <c r="P75" s="29">
        <f t="shared" si="16"/>
        <v>19.431712056970721</v>
      </c>
    </row>
    <row r="76" spans="1:16" hidden="1" x14ac:dyDescent="0.45">
      <c r="A76" s="90" t="s">
        <v>233</v>
      </c>
      <c r="B76" s="29"/>
      <c r="C76" s="29"/>
      <c r="D76" s="29">
        <f t="shared" ref="D76:F76" si="17">D60</f>
        <v>20.408362629757786</v>
      </c>
      <c r="E76" s="29">
        <f t="shared" si="17"/>
        <v>20.612446256055364</v>
      </c>
      <c r="F76" s="29">
        <f t="shared" si="17"/>
        <v>20.818570718615923</v>
      </c>
      <c r="G76" s="29">
        <f>G60</f>
        <v>21.02675642580208</v>
      </c>
      <c r="H76" s="29">
        <f t="shared" ref="H76:P76" si="18">H60</f>
        <v>21.237023990060102</v>
      </c>
      <c r="I76" s="29">
        <f t="shared" si="18"/>
        <v>21.449394229960703</v>
      </c>
      <c r="J76" s="29">
        <f t="shared" si="18"/>
        <v>21.663888172260307</v>
      </c>
      <c r="K76" s="29">
        <f t="shared" si="18"/>
        <v>21.880527053982913</v>
      </c>
      <c r="L76" s="29">
        <f t="shared" si="18"/>
        <v>22.099332324522738</v>
      </c>
      <c r="M76" s="29">
        <f t="shared" si="18"/>
        <v>22.320325647767969</v>
      </c>
      <c r="N76" s="29">
        <f t="shared" si="18"/>
        <v>22.543528904245647</v>
      </c>
      <c r="O76" s="29">
        <f t="shared" si="18"/>
        <v>22.768964193288102</v>
      </c>
      <c r="P76" s="29">
        <f t="shared" si="18"/>
        <v>22.996653835220982</v>
      </c>
    </row>
    <row r="77" spans="1:16" hidden="1" x14ac:dyDescent="0.45">
      <c r="A77" s="109" t="s">
        <v>397</v>
      </c>
      <c r="B77" s="29" t="e">
        <f>IF('Input - Workforce Supply'!F27=0,NA(),'Input - Workforce Supply'!F27)</f>
        <v>#N/A</v>
      </c>
      <c r="C77" s="29" t="e">
        <f>IF('Input - Workforce Supply'!G27=0,NA(),'Input - Workforce Supply'!G27)</f>
        <v>#N/A</v>
      </c>
      <c r="D77" s="29" t="e">
        <f>IF('Input - Workforce Supply'!H27=0,NA(),'Input - Workforce Supply'!H27)</f>
        <v>#N/A</v>
      </c>
      <c r="E77" s="29" t="e">
        <f>IF('Input - Workforce Supply'!I27=0,NA(),'Input - Workforce Supply'!I27)</f>
        <v>#N/A</v>
      </c>
      <c r="F77" s="29" t="e">
        <f>IF('Input - Workforce Supply'!J27=0,NA(),'Input - Workforce Supply'!J27)</f>
        <v>#N/A</v>
      </c>
      <c r="G77" s="29" t="e">
        <f>IF('Input - Workforce Supply'!K27=0,NA(),'Input - Workforce Supply'!K27)</f>
        <v>#N/A</v>
      </c>
      <c r="H77" s="29" t="e">
        <f>IF('Input - Workforce Supply'!L27=0,NA(),'Input - Workforce Supply'!L27)</f>
        <v>#N/A</v>
      </c>
      <c r="I77" s="29" t="e">
        <f>IF('Input - Workforce Supply'!M27=0,NA(),'Input - Workforce Supply'!M27)</f>
        <v>#N/A</v>
      </c>
      <c r="J77" s="29" t="e">
        <f>IF('Input - Workforce Supply'!N27=0,NA(),'Input - Workforce Supply'!N27)</f>
        <v>#N/A</v>
      </c>
      <c r="K77" s="29" t="e">
        <f>IF('Input - Workforce Supply'!O27=0,NA(),'Input - Workforce Supply'!O27)</f>
        <v>#N/A</v>
      </c>
      <c r="L77" s="29" t="e">
        <f>IF('Input - Workforce Supply'!P27=0,NA(),'Input - Workforce Supply'!P27)</f>
        <v>#N/A</v>
      </c>
      <c r="M77" s="29" t="e">
        <f>IF('Input - Workforce Supply'!Q27=0,NA(),'Input - Workforce Supply'!Q27)</f>
        <v>#N/A</v>
      </c>
      <c r="N77" s="29" t="e">
        <f>IF('Input - Workforce Supply'!R27=0,NA(),'Input - Workforce Supply'!R27)</f>
        <v>#N/A</v>
      </c>
      <c r="O77" s="29" t="e">
        <f>IF('Input - Workforce Supply'!S27=0,NA(),'Input - Workforce Supply'!S27)</f>
        <v>#N/A</v>
      </c>
      <c r="P77" s="29" t="e">
        <f>IF('Input - Workforce Supply'!T27=0,NA(),'Input - Workforce Supply'!T27)</f>
        <v>#N/A</v>
      </c>
    </row>
    <row r="78" spans="1:16" hidden="1" x14ac:dyDescent="0.45">
      <c r="A78" s="187" t="s">
        <v>396</v>
      </c>
      <c r="B78" s="29" t="e">
        <f>IF('Input - Workforce Supply'!F28=0,NA(),'Input - Workforce Supply'!F28)</f>
        <v>#N/A</v>
      </c>
      <c r="C78" s="29" t="e">
        <f>IF('Input - Workforce Supply'!G28=0,NA(),'Input - Workforce Supply'!G28)</f>
        <v>#N/A</v>
      </c>
      <c r="D78" s="29" t="e">
        <f>IF('Input - Workforce Supply'!H28=0,NA(),'Input - Workforce Supply'!H28)</f>
        <v>#N/A</v>
      </c>
      <c r="E78" s="29" t="e">
        <f>IF('Input - Workforce Supply'!I28=0,NA(),'Input - Workforce Supply'!I28)</f>
        <v>#N/A</v>
      </c>
      <c r="F78" s="29" t="e">
        <f>IF('Input - Workforce Supply'!J28=0,NA(),'Input - Workforce Supply'!J28)</f>
        <v>#N/A</v>
      </c>
      <c r="G78" s="29" t="e">
        <f>IF('Input - Workforce Supply'!K28=0,NA(),'Input - Workforce Supply'!K28)</f>
        <v>#N/A</v>
      </c>
      <c r="H78" s="29" t="e">
        <f>IF('Input - Workforce Supply'!L28=0,NA(),'Input - Workforce Supply'!L28)</f>
        <v>#N/A</v>
      </c>
      <c r="I78" s="29" t="e">
        <f>IF('Input - Workforce Supply'!M28=0,NA(),'Input - Workforce Supply'!M28)</f>
        <v>#N/A</v>
      </c>
      <c r="J78" s="29" t="e">
        <f>IF('Input - Workforce Supply'!N28=0,NA(),'Input - Workforce Supply'!N28)</f>
        <v>#N/A</v>
      </c>
      <c r="K78" s="29" t="e">
        <f>IF('Input - Workforce Supply'!O28=0,NA(),'Input - Workforce Supply'!O28)</f>
        <v>#N/A</v>
      </c>
      <c r="L78" s="29" t="e">
        <f>IF('Input - Workforce Supply'!P28=0,NA(),'Input - Workforce Supply'!P28)</f>
        <v>#N/A</v>
      </c>
      <c r="M78" s="29" t="e">
        <f>IF('Input - Workforce Supply'!Q28=0,NA(),'Input - Workforce Supply'!Q28)</f>
        <v>#N/A</v>
      </c>
      <c r="N78" s="29" t="e">
        <f>IF('Input - Workforce Supply'!R28=0,NA(),'Input - Workforce Supply'!R28)</f>
        <v>#N/A</v>
      </c>
      <c r="O78" s="29" t="e">
        <f>IF('Input - Workforce Supply'!S28=0,NA(),'Input - Workforce Supply'!S28)</f>
        <v>#N/A</v>
      </c>
      <c r="P78" s="29" t="e">
        <f>IF('Input - Workforce Supply'!T28=0,NA(),'Input - Workforce Supply'!T28)</f>
        <v>#N/A</v>
      </c>
    </row>
    <row r="79" spans="1:16" hidden="1" x14ac:dyDescent="0.45">
      <c r="A79" s="187" t="s">
        <v>398</v>
      </c>
      <c r="B79" s="29" t="e">
        <f>IF('Input - Workforce Supply'!F29=0,NA(),'Input - Workforce Supply'!F29)</f>
        <v>#N/A</v>
      </c>
      <c r="C79" s="29" t="e">
        <f>IF('Input - Workforce Supply'!G29=0,NA(),'Input - Workforce Supply'!G29)</f>
        <v>#N/A</v>
      </c>
      <c r="D79" s="29" t="e">
        <f>IF('Input - Workforce Supply'!H29=0,NA(),'Input - Workforce Supply'!H29)</f>
        <v>#N/A</v>
      </c>
      <c r="E79" s="29" t="e">
        <f>IF('Input - Workforce Supply'!I29=0,NA(),'Input - Workforce Supply'!I29)</f>
        <v>#N/A</v>
      </c>
      <c r="F79" s="29" t="e">
        <f>IF('Input - Workforce Supply'!J29=0,NA(),'Input - Workforce Supply'!J29)</f>
        <v>#N/A</v>
      </c>
      <c r="G79" s="29" t="e">
        <f>IF('Input - Workforce Supply'!K29=0,NA(),'Input - Workforce Supply'!K29)</f>
        <v>#N/A</v>
      </c>
      <c r="H79" s="29" t="e">
        <f>IF('Input - Workforce Supply'!L29=0,NA(),'Input - Workforce Supply'!L29)</f>
        <v>#N/A</v>
      </c>
      <c r="I79" s="29" t="e">
        <f>IF('Input - Workforce Supply'!M29=0,NA(),'Input - Workforce Supply'!M29)</f>
        <v>#N/A</v>
      </c>
      <c r="J79" s="29" t="e">
        <f>IF('Input - Workforce Supply'!N29=0,NA(),'Input - Workforce Supply'!N29)</f>
        <v>#N/A</v>
      </c>
      <c r="K79" s="29" t="e">
        <f>IF('Input - Workforce Supply'!O29=0,NA(),'Input - Workforce Supply'!O29)</f>
        <v>#N/A</v>
      </c>
      <c r="L79" s="29" t="e">
        <f>IF('Input - Workforce Supply'!P29=0,NA(),'Input - Workforce Supply'!P29)</f>
        <v>#N/A</v>
      </c>
      <c r="M79" s="29" t="e">
        <f>IF('Input - Workforce Supply'!Q29=0,NA(),'Input - Workforce Supply'!Q29)</f>
        <v>#N/A</v>
      </c>
      <c r="N79" s="29" t="e">
        <f>IF('Input - Workforce Supply'!R29=0,NA(),'Input - Workforce Supply'!R29)</f>
        <v>#N/A</v>
      </c>
      <c r="O79" s="29" t="e">
        <f>IF('Input - Workforce Supply'!S29=0,NA(),'Input - Workforce Supply'!S29)</f>
        <v>#N/A</v>
      </c>
      <c r="P79" s="29" t="e">
        <f>IF('Input - Workforce Supply'!T29=0,NA(),'Input - Workforce Supply'!T29)</f>
        <v>#N/A</v>
      </c>
    </row>
  </sheetData>
  <mergeCells count="60">
    <mergeCell ref="D20:D21"/>
    <mergeCell ref="E20:E21"/>
    <mergeCell ref="E18:E19"/>
    <mergeCell ref="F13:F14"/>
    <mergeCell ref="F18:F19"/>
    <mergeCell ref="F20:F21"/>
    <mergeCell ref="A50:A51"/>
    <mergeCell ref="B50:B51"/>
    <mergeCell ref="C50:C51"/>
    <mergeCell ref="A48:A49"/>
    <mergeCell ref="B48:B49"/>
    <mergeCell ref="C48:C49"/>
    <mergeCell ref="A43:A44"/>
    <mergeCell ref="B43:B44"/>
    <mergeCell ref="C43:C44"/>
    <mergeCell ref="A41:A42"/>
    <mergeCell ref="B41:B42"/>
    <mergeCell ref="C41:C42"/>
    <mergeCell ref="F22:F23"/>
    <mergeCell ref="B22:B23"/>
    <mergeCell ref="C22:C23"/>
    <mergeCell ref="D22:D23"/>
    <mergeCell ref="E22:E23"/>
    <mergeCell ref="E8:E9"/>
    <mergeCell ref="A11:A12"/>
    <mergeCell ref="B11:B12"/>
    <mergeCell ref="C11:C12"/>
    <mergeCell ref="D11:D12"/>
    <mergeCell ref="E11:E12"/>
    <mergeCell ref="A8:A9"/>
    <mergeCell ref="B8:B9"/>
    <mergeCell ref="C8:C9"/>
    <mergeCell ref="D8:D9"/>
    <mergeCell ref="A38:A39"/>
    <mergeCell ref="B38:B39"/>
    <mergeCell ref="C38:C39"/>
    <mergeCell ref="B33:C33"/>
    <mergeCell ref="D33:P33"/>
    <mergeCell ref="A18:A19"/>
    <mergeCell ref="A20:A21"/>
    <mergeCell ref="B13:B14"/>
    <mergeCell ref="B18:B19"/>
    <mergeCell ref="B20:B21"/>
    <mergeCell ref="A13:A14"/>
    <mergeCell ref="B55:C55"/>
    <mergeCell ref="D55:P55"/>
    <mergeCell ref="C52:C53"/>
    <mergeCell ref="G3:P3"/>
    <mergeCell ref="B3:F3"/>
    <mergeCell ref="B25:F25"/>
    <mergeCell ref="G25:P25"/>
    <mergeCell ref="F8:F9"/>
    <mergeCell ref="F11:F12"/>
    <mergeCell ref="C18:C19"/>
    <mergeCell ref="C20:C21"/>
    <mergeCell ref="C13:C14"/>
    <mergeCell ref="D13:D14"/>
    <mergeCell ref="E13:E14"/>
    <mergeCell ref="D18:D19"/>
    <mergeCell ref="B52:B53"/>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52F91-4B09-41FB-8CAD-C832BA183142}">
  <sheetPr>
    <tabColor rgb="FF00B0F0"/>
  </sheetPr>
  <dimension ref="A1:R132"/>
  <sheetViews>
    <sheetView showGridLines="0" zoomScaleNormal="100" workbookViewId="0">
      <selection activeCell="A63" sqref="A63"/>
    </sheetView>
  </sheetViews>
  <sheetFormatPr defaultColWidth="8.796875" defaultRowHeight="14.25" x14ac:dyDescent="0.45"/>
  <cols>
    <col min="1" max="1" width="36.19921875" style="7" customWidth="1"/>
    <col min="2" max="2" width="15.33203125" style="7" bestFit="1" customWidth="1"/>
    <col min="3" max="6" width="18" style="7" bestFit="1" customWidth="1"/>
    <col min="7" max="10" width="18" style="7" customWidth="1"/>
    <col min="11" max="17" width="18" style="7" bestFit="1" customWidth="1"/>
    <col min="18" max="18" width="21.53125" style="7" bestFit="1" customWidth="1"/>
    <col min="19" max="16384" width="8.796875" style="7"/>
  </cols>
  <sheetData>
    <row r="1" spans="1:18" x14ac:dyDescent="0.45">
      <c r="A1" s="59" t="s">
        <v>457</v>
      </c>
      <c r="B1" s="27"/>
    </row>
    <row r="2" spans="1:18" ht="30" customHeight="1" x14ac:dyDescent="0.45">
      <c r="A2" s="146" t="s">
        <v>158</v>
      </c>
      <c r="B2" s="27"/>
      <c r="C2" s="3"/>
      <c r="D2" s="3"/>
      <c r="E2" s="3"/>
      <c r="F2" s="3"/>
      <c r="G2" s="3"/>
    </row>
    <row r="3" spans="1:18" x14ac:dyDescent="0.45">
      <c r="A3" s="65" t="s">
        <v>69</v>
      </c>
      <c r="B3" s="23"/>
      <c r="C3" s="324" t="s">
        <v>105</v>
      </c>
      <c r="D3" s="324"/>
      <c r="E3" s="324"/>
      <c r="F3" s="324"/>
      <c r="G3" s="324"/>
      <c r="H3" s="333" t="s">
        <v>104</v>
      </c>
      <c r="I3" s="333"/>
      <c r="J3" s="333"/>
      <c r="K3" s="333"/>
      <c r="L3" s="333"/>
      <c r="M3" s="333"/>
      <c r="N3" s="333"/>
      <c r="O3" s="333"/>
      <c r="P3" s="333"/>
      <c r="Q3" s="333"/>
    </row>
    <row r="4" spans="1:18" x14ac:dyDescent="0.45">
      <c r="A4" s="25" t="s">
        <v>22</v>
      </c>
      <c r="B4" s="25" t="s">
        <v>50</v>
      </c>
      <c r="C4" s="8" t="s">
        <v>35</v>
      </c>
      <c r="D4" s="8" t="s">
        <v>36</v>
      </c>
      <c r="E4" s="8" t="s">
        <v>7</v>
      </c>
      <c r="F4" s="8" t="s">
        <v>37</v>
      </c>
      <c r="G4" s="8" t="s">
        <v>38</v>
      </c>
      <c r="H4" s="33" t="s">
        <v>41</v>
      </c>
      <c r="I4" s="8" t="s">
        <v>42</v>
      </c>
      <c r="J4" s="8" t="s">
        <v>43</v>
      </c>
      <c r="K4" s="8" t="s">
        <v>44</v>
      </c>
      <c r="L4" s="8" t="s">
        <v>45</v>
      </c>
      <c r="M4" s="8" t="s">
        <v>59</v>
      </c>
      <c r="N4" s="8" t="s">
        <v>60</v>
      </c>
      <c r="O4" s="8" t="s">
        <v>70</v>
      </c>
      <c r="P4" s="8" t="s">
        <v>71</v>
      </c>
      <c r="Q4" s="8" t="s">
        <v>72</v>
      </c>
    </row>
    <row r="5" spans="1:18" s="3" customFormat="1" ht="14.55" customHeight="1" x14ac:dyDescent="0.35">
      <c r="A5" s="8" t="s">
        <v>169</v>
      </c>
      <c r="B5" s="8" t="s">
        <v>31</v>
      </c>
      <c r="C5" s="29">
        <f>('Input - Activity and Demand'!B$6*'Input - Throughput'!$N$14)/'Input - Capacity'!$I$16</f>
        <v>421.26652142338418</v>
      </c>
      <c r="D5" s="29">
        <f>('Input - Activity and Demand'!C$6*'Input - Throughput'!$N$14)/'Input - Capacity'!$I$16</f>
        <v>420.97119341563786</v>
      </c>
      <c r="E5" s="29">
        <f>('Input - Activity and Demand'!D$6*'Input - Throughput'!$N$14)/'Input - Capacity'!$I$16</f>
        <v>412.28874364560642</v>
      </c>
      <c r="F5" s="29">
        <f>('Input - Activity and Demand'!E$6*'Input - Throughput'!$N$14)/'Input - Capacity'!$I$16</f>
        <v>301.61355603969986</v>
      </c>
      <c r="G5" s="29">
        <f>('Input - Activity and Demand'!F$6*'Input - Throughput'!$N$14)/'Input - Capacity'!$I$16</f>
        <v>364.641587993222</v>
      </c>
      <c r="H5" s="29">
        <f>('Input - Activity and Demand'!G$20*'Input - Throughput'!$N$14)/'Input - Capacity'!$I$16</f>
        <v>368.2880038731542</v>
      </c>
      <c r="I5" s="29">
        <f>('Input - Activity and Demand'!H$20*'Input - Throughput'!$N$14)/'Input - Capacity'!$I$16</f>
        <v>371.97088391188572</v>
      </c>
      <c r="J5" s="29">
        <f>('Input - Activity and Demand'!I$20*'Input - Throughput'!$N$14)/'Input - Capacity'!$I$16</f>
        <v>375.69059275100454</v>
      </c>
      <c r="K5" s="29">
        <f>('Input - Activity and Demand'!J$20*'Input - Throughput'!$N$14)/'Input - Capacity'!$I$16</f>
        <v>379.44749867851465</v>
      </c>
      <c r="L5" s="29">
        <f>('Input - Activity and Demand'!K$20*'Input - Throughput'!$N$14)/'Input - Capacity'!$I$16</f>
        <v>383.24197366529978</v>
      </c>
      <c r="M5" s="29">
        <f>('Input - Activity and Demand'!L$20*'Input - Throughput'!$N$14)/'Input - Capacity'!$I$16</f>
        <v>387.07439340195276</v>
      </c>
      <c r="N5" s="29">
        <f>('Input - Activity and Demand'!M$20*'Input - Throughput'!$N$14)/'Input - Capacity'!$I$16</f>
        <v>390.94513733597228</v>
      </c>
      <c r="O5" s="29">
        <f>('Input - Activity and Demand'!N$20*'Input - Throughput'!$N$14)/'Input - Capacity'!$I$16</f>
        <v>394.85458870933201</v>
      </c>
      <c r="P5" s="29">
        <f>('Input - Activity and Demand'!O$20*'Input - Throughput'!$N$14)/'Input - Capacity'!$I$16</f>
        <v>398.80313459642531</v>
      </c>
      <c r="Q5" s="29">
        <f>('Input - Activity and Demand'!P$20*'Input - Throughput'!$N$14)/'Input - Capacity'!$I$16</f>
        <v>402.79116594238957</v>
      </c>
    </row>
    <row r="6" spans="1:18" s="3" customFormat="1" ht="14.55" customHeight="1" x14ac:dyDescent="0.35">
      <c r="A6" s="8" t="s">
        <v>18</v>
      </c>
      <c r="B6" s="8" t="s">
        <v>31</v>
      </c>
      <c r="C6" s="29">
        <f>(('Input - Activity and Demand'!B$7*(1-'Input - Modelling Variables'!$C$53))*'Input - Throughput'!$N$7)/'Input - Capacity'!$I$16</f>
        <v>3.1588800129105143</v>
      </c>
      <c r="D6" s="29">
        <f>(('Input - Activity and Demand'!C$7*(1-'Input - Modelling Variables'!$C$53))*'Input - Throughput'!$N$7)/'Input - Capacity'!$I$16</f>
        <v>5.3936899862825793</v>
      </c>
      <c r="E6" s="29">
        <f>(('Input - Activity and Demand'!D$7*(1-'Input - Modelling Variables'!$C$53))*'Input - Throughput'!$N$7)/'Input - Capacity'!$I$16</f>
        <v>4.5349794238683128</v>
      </c>
      <c r="F6" s="29">
        <f>(('Input - Activity and Demand'!E$7*(1-'Input - Modelling Variables'!$C$53))*'Input - Throughput'!$N$7)/'Input - Capacity'!$I$16</f>
        <v>1.6788509642540146</v>
      </c>
      <c r="G6" s="29">
        <f>(('Input - Activity and Demand'!F$7*(1-'Input - Modelling Variables'!$C$53))*'Input - Throughput'!$N$7)/'Input - Capacity'!$I$16</f>
        <v>1.5492616799806342</v>
      </c>
      <c r="H6" s="29">
        <f>(('Input - Activity and Demand'!G$21*(1-'Input - Modelling Variables'!$C$53))*'Input - Throughput'!$N$7)/'Input - Capacity'!$I$16</f>
        <v>1.5647542967804406</v>
      </c>
      <c r="I6" s="29">
        <f>(('Input - Activity and Demand'!H$21*(1-'Input - Modelling Variables'!$C$53))*'Input - Throughput'!$N$7)/'Input - Capacity'!$I$16</f>
        <v>1.5804018397482449</v>
      </c>
      <c r="J6" s="29">
        <f>(('Input - Activity and Demand'!I$21*(1-'Input - Modelling Variables'!$C$53))*'Input - Throughput'!$N$7)/'Input - Capacity'!$I$16</f>
        <v>1.5962058581457272</v>
      </c>
      <c r="K6" s="29">
        <f>(('Input - Activity and Demand'!J$21*(1-'Input - Modelling Variables'!$C$53))*'Input - Throughput'!$N$7)/'Input - Capacity'!$I$16</f>
        <v>1.6121679167271847</v>
      </c>
      <c r="L6" s="29">
        <f>(('Input - Activity and Demand'!K$21*(1-'Input - Modelling Variables'!$C$53))*'Input - Throughput'!$N$7)/'Input - Capacity'!$I$16</f>
        <v>1.6282895958944565</v>
      </c>
      <c r="M6" s="29">
        <f>(('Input - Activity and Demand'!L$21*(1-'Input - Modelling Variables'!$C$53))*'Input - Throughput'!$N$7)/'Input - Capacity'!$I$16</f>
        <v>1.6445724918534013</v>
      </c>
      <c r="N6" s="29">
        <f>(('Input - Activity and Demand'!M$21*(1-'Input - Modelling Variables'!$C$53))*'Input - Throughput'!$N$7)/'Input - Capacity'!$I$16</f>
        <v>1.6610182167719352</v>
      </c>
      <c r="O6" s="29">
        <f>(('Input - Activity and Demand'!N$21*(1-'Input - Modelling Variables'!$C$53))*'Input - Throughput'!$N$7)/'Input - Capacity'!$I$16</f>
        <v>1.6776283989396545</v>
      </c>
      <c r="P6" s="29">
        <f>(('Input - Activity and Demand'!O$21*(1-'Input - Modelling Variables'!$C$53))*'Input - Throughput'!$N$7)/'Input - Capacity'!$I$16</f>
        <v>1.6944046829290513</v>
      </c>
      <c r="Q6" s="29">
        <f>(('Input - Activity and Demand'!P$21*(1-'Input - Modelling Variables'!$C$53))*'Input - Throughput'!$N$7)/'Input - Capacity'!$I$16</f>
        <v>1.7113487297583418</v>
      </c>
    </row>
    <row r="7" spans="1:18" s="3" customFormat="1" ht="14.55" customHeight="1" x14ac:dyDescent="0.35">
      <c r="A7" s="10" t="s">
        <v>116</v>
      </c>
      <c r="B7" s="8" t="s">
        <v>32</v>
      </c>
      <c r="C7" s="29">
        <f>('Input - Activity and Demand'!B$8*'Input - Throughput'!$N$10)/'Input - Capacity'!$I$22</f>
        <v>21.388110799875506</v>
      </c>
      <c r="D7" s="29">
        <f>('Input - Activity and Demand'!C$8*'Input - Throughput'!$N$10)/'Input - Capacity'!$I$22</f>
        <v>21.117647058823529</v>
      </c>
      <c r="E7" s="29">
        <f>('Input - Activity and Demand'!D$8*'Input - Throughput'!$N$10)/'Input - Capacity'!$I$22</f>
        <v>20.48615001556178</v>
      </c>
      <c r="F7" s="29">
        <f>('Input - Activity and Demand'!E$8*'Input - Throughput'!$N$10)/'Input - Capacity'!$I$22</f>
        <v>17.919078742608153</v>
      </c>
      <c r="G7" s="29">
        <f>('Input - Activity and Demand'!F$8*'Input - Throughput'!$N$10)/'Input - Capacity'!$I$22</f>
        <v>19.244942421413011</v>
      </c>
      <c r="H7" s="29">
        <f>('Input - Activity and Demand'!G$22*'Input - Throughput'!$N$10)/'Input - Capacity'!$I$22</f>
        <v>19.437391845627136</v>
      </c>
      <c r="I7" s="29">
        <f>('Input - Activity and Demand'!H$22*'Input - Throughput'!$N$10)/'Input - Capacity'!$I$22</f>
        <v>19.631765764083411</v>
      </c>
      <c r="J7" s="29">
        <f>('Input - Activity and Demand'!I$22*'Input - Throughput'!$N$10)/'Input - Capacity'!$I$22</f>
        <v>19.828083421724244</v>
      </c>
      <c r="K7" s="29">
        <f>('Input - Activity and Demand'!J$22*'Input - Throughput'!$N$10)/'Input - Capacity'!$I$22</f>
        <v>20.026364255941484</v>
      </c>
      <c r="L7" s="29">
        <f>('Input - Activity and Demand'!K$22*'Input - Throughput'!$N$10)/'Input - Capacity'!$I$22</f>
        <v>20.226627898500897</v>
      </c>
      <c r="M7" s="29">
        <f>('Input - Activity and Demand'!L$22*'Input - Throughput'!$N$10)/'Input - Capacity'!$I$22</f>
        <v>20.428894177485908</v>
      </c>
      <c r="N7" s="29">
        <f>('Input - Activity and Demand'!M$22*'Input - Throughput'!$N$10)/'Input - Capacity'!$I$22</f>
        <v>20.633183119260767</v>
      </c>
      <c r="O7" s="29">
        <f>('Input - Activity and Demand'!N$22*'Input - Throughput'!$N$10)/'Input - Capacity'!$I$22</f>
        <v>20.839514950453374</v>
      </c>
      <c r="P7" s="29">
        <f>('Input - Activity and Demand'!O$22*'Input - Throughput'!$N$10)/'Input - Capacity'!$I$22</f>
        <v>21.047910099957907</v>
      </c>
      <c r="Q7" s="29">
        <f>('Input - Activity and Demand'!P$22*'Input - Throughput'!$N$10)/'Input - Capacity'!$I$22</f>
        <v>21.258389200957485</v>
      </c>
    </row>
    <row r="8" spans="1:18" s="3" customFormat="1" ht="14.55" customHeight="1" x14ac:dyDescent="0.35">
      <c r="A8" s="102" t="s">
        <v>9</v>
      </c>
      <c r="B8" s="104" t="s">
        <v>32</v>
      </c>
      <c r="C8" s="43">
        <f>(('Input - Activity and Demand'!B$10*'Input - Modelling Variables'!$C$41)*'Input - Throughput'!$N$13)/'Input - Capacity'!$I$22</f>
        <v>72.22368113912232</v>
      </c>
      <c r="D8" s="43">
        <f>(('Input - Activity and Demand'!C$10*'Input - Modelling Variables'!$C$41)*'Input - Throughput'!$N$13)/'Input - Capacity'!$I$22</f>
        <v>73.096113445378151</v>
      </c>
      <c r="E8" s="43">
        <f>(('Input - Activity and Demand'!D$10*'Input - Modelling Variables'!$C$41)*'Input - Throughput'!$N$13)/'Input - Capacity'!$I$22</f>
        <v>71.899801587301582</v>
      </c>
      <c r="F8" s="43">
        <f>(('Input - Activity and Demand'!E$10*'Input - Modelling Variables'!$C$41)*'Input - Throughput'!$N$13)/'Input - Capacity'!$I$22</f>
        <v>50.23488562091503</v>
      </c>
      <c r="G8" s="43">
        <f>(('Input - Activity and Demand'!F$10*'Input - Modelling Variables'!$C$41)*'Input - Throughput'!$N$13)/'Input - Capacity'!$I$22</f>
        <v>53.826739028944914</v>
      </c>
      <c r="H8" s="43">
        <f>(('Input - Activity and Demand'!G$25*'Input - Modelling Variables'!$C$41)*'Input - Throughput'!$N$13)/'Input - Capacity'!$I$22</f>
        <v>57.056343370681596</v>
      </c>
      <c r="I8" s="43">
        <f>(('Input - Activity and Demand'!H$25*'Input - Modelling Variables'!$C$41)*'Input - Throughput'!$N$13)/'Input - Capacity'!$I$22</f>
        <v>60.479723972922493</v>
      </c>
      <c r="J8" s="43">
        <f>(('Input - Activity and Demand'!I$25*'Input - Modelling Variables'!$C$41)*'Input - Throughput'!$N$13)/'Input - Capacity'!$I$22</f>
        <v>64.10850741129785</v>
      </c>
      <c r="K8" s="43">
        <f>(('Input - Activity and Demand'!J$25*'Input - Modelling Variables'!$C$41)*'Input - Throughput'!$N$13)/'Input - Capacity'!$I$22</f>
        <v>67.955017855975711</v>
      </c>
      <c r="L8" s="43">
        <f>(('Input - Activity and Demand'!K$25*'Input - Modelling Variables'!$C$41)*'Input - Throughput'!$N$13)/'Input - Capacity'!$I$22</f>
        <v>72.032318927334273</v>
      </c>
      <c r="M8" s="43">
        <f>(('Input - Activity and Demand'!L$25*'Input - Modelling Variables'!$C$41)*'Input - Throughput'!$N$13)/'Input - Capacity'!$I$22</f>
        <v>76.354258062974324</v>
      </c>
      <c r="N8" s="43">
        <f>(('Input - Activity and Demand'!M$25*'Input - Modelling Variables'!$C$41)*'Input - Throughput'!$N$13)/'Input - Capacity'!$I$22</f>
        <v>80.935513546752802</v>
      </c>
      <c r="O8" s="43">
        <f>(('Input - Activity and Demand'!N$25*'Input - Modelling Variables'!$C$41)*'Input - Throughput'!$N$13)/'Input - Capacity'!$I$22</f>
        <v>85.791644359557949</v>
      </c>
      <c r="P8" s="43">
        <f>(('Input - Activity and Demand'!O$25*'Input - Modelling Variables'!$C$41)*'Input - Throughput'!$N$13)/'Input - Capacity'!$I$22</f>
        <v>90.939143021131429</v>
      </c>
      <c r="Q8" s="43">
        <f>(('Input - Activity and Demand'!P$25*'Input - Modelling Variables'!$C$41)*'Input - Throughput'!$N$13)/'Input - Capacity'!$I$22</f>
        <v>96.395491602399332</v>
      </c>
    </row>
    <row r="9" spans="1:18" s="3" customFormat="1" ht="14.55" customHeight="1" x14ac:dyDescent="0.35">
      <c r="A9" s="283" t="s">
        <v>107</v>
      </c>
      <c r="B9" s="283" t="s">
        <v>32</v>
      </c>
      <c r="C9" s="257">
        <f>('Input - Activity and Demand'!B$11*'Input - Throughput'!$N$11)/'Input - Capacity'!$I$22</f>
        <v>450.93837535014006</v>
      </c>
      <c r="D9" s="257">
        <f>('Input - Activity and Demand'!C$11*'Input - Throughput'!$N$11)/'Input - Capacity'!$I$22</f>
        <v>465.27135854341736</v>
      </c>
      <c r="E9" s="257">
        <f>('Input - Activity and Demand'!D$11*'Input - Throughput'!$N$11)/'Input - Capacity'!$I$22</f>
        <v>471.57563025210084</v>
      </c>
      <c r="F9" s="257">
        <f>('Input - Activity and Demand'!E$11*'Input - Throughput'!$N$11)/'Input - Capacity'!$I$22</f>
        <v>358.05672268907563</v>
      </c>
      <c r="G9" s="257">
        <f>('Input - Activity and Demand'!F$11*'Input - Throughput'!$N$11)/'Input - Capacity'!$I$22</f>
        <v>379.18417366946778</v>
      </c>
      <c r="H9" s="34">
        <f>('Input - Activity and Demand'!G$26*'Input - Throughput'!$N$11)/'Input - Capacity'!$I$22</f>
        <v>405.72706582633054</v>
      </c>
      <c r="I9" s="34">
        <f>('Input - Activity and Demand'!H$26*'Input - Throughput'!$N$11)/'Input - Capacity'!$I$22</f>
        <v>434.1279604341737</v>
      </c>
      <c r="J9" s="34">
        <f>('Input - Activity and Demand'!I$26*'Input - Throughput'!$N$11)/'Input - Capacity'!$I$22</f>
        <v>464.51691766456582</v>
      </c>
      <c r="K9" s="34">
        <f>('Input - Activity and Demand'!J$26*'Input - Throughput'!$N$11)/'Input - Capacity'!$I$22</f>
        <v>497.03310190108544</v>
      </c>
      <c r="L9" s="34">
        <f>('Input - Activity and Demand'!K$26*'Input - Throughput'!$N$11)/'Input - Capacity'!$I$22</f>
        <v>531.82541903416143</v>
      </c>
      <c r="M9" s="34">
        <f>('Input - Activity and Demand'!L$26*'Input - Throughput'!$N$11)/'Input - Capacity'!$I$22</f>
        <v>569.05319836655269</v>
      </c>
      <c r="N9" s="34">
        <f>('Input - Activity and Demand'!M$26*'Input - Throughput'!$N$11)/'Input - Capacity'!$I$22</f>
        <v>608.88692225221132</v>
      </c>
      <c r="O9" s="34">
        <f>('Input - Activity and Demand'!N$26*'Input - Throughput'!$N$11)/'Input - Capacity'!$I$22</f>
        <v>651.50900680986615</v>
      </c>
      <c r="P9" s="34">
        <f>('Input - Activity and Demand'!O$26*'Input - Throughput'!$N$11)/'Input - Capacity'!$I$22</f>
        <v>697.11463728655679</v>
      </c>
      <c r="Q9" s="34">
        <f>('Input - Activity and Demand'!P$26*'Input - Throughput'!$N$11)/'Input - Capacity'!$I$22</f>
        <v>745.91266189661587</v>
      </c>
    </row>
    <row r="10" spans="1:18" s="3" customFormat="1" ht="14.55" customHeight="1" x14ac:dyDescent="0.35">
      <c r="A10" s="284"/>
      <c r="B10" s="284"/>
      <c r="C10" s="258"/>
      <c r="D10" s="258"/>
      <c r="E10" s="258"/>
      <c r="F10" s="258"/>
      <c r="G10" s="258"/>
      <c r="H10" s="34">
        <f>('Input - Activity and Demand'!G$27*'Input - Throughput'!$N$11)/'Input - Capacity'!$I$22</f>
        <v>420.89443277310926</v>
      </c>
      <c r="I10" s="34">
        <f>('Input - Activity and Demand'!H$27*'Input - Throughput'!$N$11)/'Input - Capacity'!$I$22</f>
        <v>467.19282037815123</v>
      </c>
      <c r="J10" s="34">
        <f>('Input - Activity and Demand'!I$27*'Input - Throughput'!$N$11)/'Input - Capacity'!$I$22</f>
        <v>518.58403061974786</v>
      </c>
      <c r="K10" s="34">
        <f>('Input - Activity and Demand'!J$27*'Input - Throughput'!$N$11)/'Input - Capacity'!$I$22</f>
        <v>575.62827398792012</v>
      </c>
      <c r="L10" s="34">
        <f>('Input - Activity and Demand'!K$27*'Input - Throughput'!$N$11)/'Input - Capacity'!$I$22</f>
        <v>638.94738412659126</v>
      </c>
      <c r="M10" s="34">
        <f>('Input - Activity and Demand'!L$27*'Input - Throughput'!$N$11)/'Input - Capacity'!$I$22</f>
        <v>709.23159638051641</v>
      </c>
      <c r="N10" s="34">
        <f>('Input - Activity and Demand'!M$27*'Input - Throughput'!$N$11)/'Input - Capacity'!$I$22</f>
        <v>787.24707198237331</v>
      </c>
      <c r="O10" s="34">
        <f>('Input - Activity and Demand'!N$27*'Input - Throughput'!$N$11)/'Input - Capacity'!$I$22</f>
        <v>873.84424990043431</v>
      </c>
      <c r="P10" s="34">
        <f>('Input - Activity and Demand'!O$27*'Input - Throughput'!$N$11)/'Input - Capacity'!$I$22</f>
        <v>969.96711738948215</v>
      </c>
      <c r="Q10" s="34">
        <f>('Input - Activity and Demand'!P$27*'Input - Throughput'!$N$11)/'Input - Capacity'!$I$22</f>
        <v>1076.6635003023252</v>
      </c>
    </row>
    <row r="11" spans="1:18" s="28" customFormat="1" ht="14.55" customHeight="1" x14ac:dyDescent="0.35">
      <c r="A11" s="149" t="s">
        <v>25</v>
      </c>
      <c r="B11" s="149" t="s">
        <v>32</v>
      </c>
      <c r="C11" s="107">
        <f>('Input - Activity and Demand'!B$12*'Input - Throughput'!$N$9)/'Input - Capacity'!$I$22</f>
        <v>58.413865546218489</v>
      </c>
      <c r="D11" s="107">
        <f>('Input - Activity and Demand'!C$12*'Input - Throughput'!$N$9)/'Input - Capacity'!$I$22</f>
        <v>59.24894957983193</v>
      </c>
      <c r="E11" s="107">
        <f>('Input - Activity and Demand'!D$12*'Input - Throughput'!$N$9)/'Input - Capacity'!$I$22</f>
        <v>63.559173669467789</v>
      </c>
      <c r="F11" s="107">
        <f>('Input - Activity and Demand'!E$12*'Input - Throughput'!$N$9)/'Input - Capacity'!$I$22</f>
        <v>61.36904761904762</v>
      </c>
      <c r="G11" s="107">
        <f>('Input - Activity and Demand'!F$12*'Input - Throughput'!$N$9)/'Input - Capacity'!$I$22</f>
        <v>66.321778711484598</v>
      </c>
      <c r="H11" s="107">
        <f>('Input - Activity and Demand'!G$28*'Input - Throughput'!$N$9)/'Input - Capacity'!$I$22</f>
        <v>70.301085434173672</v>
      </c>
      <c r="I11" s="107">
        <f>('Input - Activity and Demand'!H$28*'Input - Throughput'!$N$9)/'Input - Capacity'!$I$22</f>
        <v>74.519150560224091</v>
      </c>
      <c r="J11" s="107">
        <f>('Input - Activity and Demand'!I$28*'Input - Throughput'!$N$9)/'Input - Capacity'!$I$22</f>
        <v>78.990299593837548</v>
      </c>
      <c r="K11" s="107">
        <f>('Input - Activity and Demand'!J$28*'Input - Throughput'!$N$9)/'Input - Capacity'!$I$22</f>
        <v>83.729717569467795</v>
      </c>
      <c r="L11" s="107">
        <f>('Input - Activity and Demand'!K$28*'Input - Throughput'!$N$9)/'Input - Capacity'!$I$22</f>
        <v>88.753500623635858</v>
      </c>
      <c r="M11" s="107">
        <f>('Input - Activity and Demand'!L$28*'Input - Throughput'!$N$9)/'Input - Capacity'!$I$22</f>
        <v>94.078710661054018</v>
      </c>
      <c r="N11" s="107">
        <f>('Input - Activity and Demand'!M$28*'Input - Throughput'!$N$9)/'Input - Capacity'!$I$22</f>
        <v>99.723433300717247</v>
      </c>
      <c r="O11" s="107">
        <f>('Input - Activity and Demand'!N$28*'Input - Throughput'!$N$9)/'Input - Capacity'!$I$22</f>
        <v>105.70683929876029</v>
      </c>
      <c r="P11" s="107">
        <f>('Input - Activity and Demand'!O$28*'Input - Throughput'!$N$9)/'Input - Capacity'!$I$22</f>
        <v>112.04924965668592</v>
      </c>
      <c r="Q11" s="107">
        <f>('Input - Activity and Demand'!P$28*'Input - Throughput'!$N$9)/'Input - Capacity'!$I$22</f>
        <v>118.77220463608707</v>
      </c>
    </row>
    <row r="12" spans="1:18" s="28" customFormat="1" ht="14.55" customHeight="1" x14ac:dyDescent="0.35">
      <c r="A12" s="149" t="s">
        <v>137</v>
      </c>
      <c r="B12" s="149" t="s">
        <v>32</v>
      </c>
      <c r="C12" s="107">
        <f>'Input - Throughput'!$U$18*C11</f>
        <v>58.413865546218489</v>
      </c>
      <c r="D12" s="107">
        <f>'Input - Throughput'!$U$18*D11</f>
        <v>59.24894957983193</v>
      </c>
      <c r="E12" s="107">
        <f>'Input - Throughput'!$U$18*E11</f>
        <v>63.559173669467789</v>
      </c>
      <c r="F12" s="107">
        <f>'Input - Throughput'!$U$18*F11</f>
        <v>61.36904761904762</v>
      </c>
      <c r="G12" s="107">
        <f>'Input - Throughput'!$U$18*G11</f>
        <v>66.321778711484598</v>
      </c>
      <c r="H12" s="107">
        <f>'Input - Throughput'!$U$18*H11</f>
        <v>70.301085434173672</v>
      </c>
      <c r="I12" s="107">
        <f>'Input - Throughput'!$U$18*I11</f>
        <v>74.519150560224091</v>
      </c>
      <c r="J12" s="107">
        <f>'Input - Throughput'!$U$18*J11</f>
        <v>78.990299593837548</v>
      </c>
      <c r="K12" s="107">
        <f>'Input - Throughput'!$U$18*K11</f>
        <v>83.729717569467795</v>
      </c>
      <c r="L12" s="107">
        <f>'Input - Throughput'!$U$18*L11</f>
        <v>88.753500623635858</v>
      </c>
      <c r="M12" s="107">
        <f>'Input - Throughput'!$U$18*M11</f>
        <v>94.078710661054018</v>
      </c>
      <c r="N12" s="107">
        <f>'Input - Throughput'!$U$18*N11</f>
        <v>99.723433300717247</v>
      </c>
      <c r="O12" s="107">
        <f>'Input - Throughput'!$U$18*O11</f>
        <v>105.70683929876029</v>
      </c>
      <c r="P12" s="107">
        <f>'Input - Throughput'!$U$18*P11</f>
        <v>112.04924965668592</v>
      </c>
      <c r="Q12" s="107">
        <f>'Input - Throughput'!$U$18*Q11</f>
        <v>118.77220463608707</v>
      </c>
    </row>
    <row r="13" spans="1:18" s="3" customFormat="1" ht="14.55" customHeight="1" x14ac:dyDescent="0.35">
      <c r="A13" s="77" t="s">
        <v>19</v>
      </c>
      <c r="B13" s="8" t="s">
        <v>32</v>
      </c>
      <c r="C13" s="78">
        <f>('Input - Activity and Demand'!B$13*'Input - Throughput'!$N$8)/'Input - Capacity'!$I$22</f>
        <v>28.805892727461355</v>
      </c>
      <c r="D13" s="78">
        <f>('Input - Activity and Demand'!C$13*'Input - Throughput'!$N$8)/'Input - Capacity'!$I$22</f>
        <v>31.208216619981325</v>
      </c>
      <c r="E13" s="78">
        <f>('Input - Activity and Demand'!D$13*'Input - Throughput'!$N$8)/'Input - Capacity'!$I$22</f>
        <v>32.598817304699658</v>
      </c>
      <c r="F13" s="78">
        <f>('Input - Activity and Demand'!E$13*'Input - Throughput'!$N$8)/'Input - Capacity'!$I$22</f>
        <v>25.040771864301277</v>
      </c>
      <c r="G13" s="78">
        <f>('Input - Activity and Demand'!F$13*'Input - Throughput'!$N$8)/'Input - Capacity'!$I$22</f>
        <v>29.820935781720099</v>
      </c>
      <c r="H13" s="78">
        <f>('Input - Activity and Demand'!G$29*'Input - Throughput'!$N$8)/'Input - Capacity'!$I$22</f>
        <v>30.119145139537299</v>
      </c>
      <c r="I13" s="78">
        <f>('Input - Activity and Demand'!H$29*'Input - Throughput'!$N$8)/'Input - Capacity'!$I$22</f>
        <v>30.420336590932674</v>
      </c>
      <c r="J13" s="78">
        <f>('Input - Activity and Demand'!I$29*'Input - Throughput'!$N$8)/'Input - Capacity'!$I$22</f>
        <v>30.724539956842001</v>
      </c>
      <c r="K13" s="78">
        <f>('Input - Activity and Demand'!J$29*'Input - Throughput'!$N$8)/'Input - Capacity'!$I$22</f>
        <v>31.03178535641042</v>
      </c>
      <c r="L13" s="78">
        <f>('Input - Activity and Demand'!K$29*'Input - Throughput'!$N$8)/'Input - Capacity'!$I$22</f>
        <v>31.342103209974525</v>
      </c>
      <c r="M13" s="78">
        <f>('Input - Activity and Demand'!L$29*'Input - Throughput'!$N$8)/'Input - Capacity'!$I$22</f>
        <v>31.655524242074268</v>
      </c>
      <c r="N13" s="78">
        <f>('Input - Activity and Demand'!M$29*'Input - Throughput'!$N$8)/'Input - Capacity'!$I$22</f>
        <v>31.972079484495008</v>
      </c>
      <c r="O13" s="78">
        <f>('Input - Activity and Demand'!N$29*'Input - Throughput'!$N$8)/'Input - Capacity'!$I$22</f>
        <v>32.291800279339959</v>
      </c>
      <c r="P13" s="78">
        <f>('Input - Activity and Demand'!O$29*'Input - Throughput'!$N$8)/'Input - Capacity'!$I$22</f>
        <v>32.61471828213336</v>
      </c>
      <c r="Q13" s="78">
        <f>('Input - Activity and Demand'!P$29*'Input - Throughput'!$N$8)/'Input - Capacity'!$I$22</f>
        <v>32.940865464954697</v>
      </c>
    </row>
    <row r="14" spans="1:18" s="3" customFormat="1" ht="14.55" customHeight="1" x14ac:dyDescent="0.35">
      <c r="A14" s="283" t="s">
        <v>6</v>
      </c>
      <c r="B14" s="283" t="s">
        <v>32</v>
      </c>
      <c r="C14" s="257">
        <f>('Input - Activity and Demand'!B$14*'Input - Throughput'!$N$5)/'Input - Capacity'!$I$22</f>
        <v>315.77715530656707</v>
      </c>
      <c r="D14" s="257">
        <f>('Input - Activity and Demand'!C$14*'Input - Throughput'!$N$5)/'Input - Capacity'!$I$22</f>
        <v>326.00933706816062</v>
      </c>
      <c r="E14" s="257">
        <f>('Input - Activity and Demand'!D$14*'Input - Throughput'!$N$5)/'Input - Capacity'!$I$22</f>
        <v>340.04295051353876</v>
      </c>
      <c r="F14" s="257">
        <f>('Input - Activity and Demand'!E$14*'Input - Throughput'!$N$5)/'Input - Capacity'!$I$22</f>
        <v>316.03236850295673</v>
      </c>
      <c r="G14" s="257">
        <f>('Input - Activity and Demand'!F$14*'Input - Throughput'!$N$5)/'Input - Capacity'!$I$22</f>
        <v>350.9088079676315</v>
      </c>
      <c r="H14" s="34">
        <f>('Input - Activity and Demand'!G$30*'Input - Throughput'!$N$5)/'Input - Capacity'!$I$22</f>
        <v>375.47242452536568</v>
      </c>
      <c r="I14" s="34">
        <f>('Input - Activity and Demand'!H$30*'Input - Throughput'!$N$5)/'Input - Capacity'!$I$22</f>
        <v>401.75549424214125</v>
      </c>
      <c r="J14" s="34">
        <f>('Input - Activity and Demand'!I$30*'Input - Throughput'!$N$5)/'Input - Capacity'!$I$22</f>
        <v>429.87837883909117</v>
      </c>
      <c r="K14" s="34">
        <f>('Input - Activity and Demand'!J$30*'Input - Throughput'!$N$5)/'Input - Capacity'!$I$22</f>
        <v>459.96986535782747</v>
      </c>
      <c r="L14" s="34">
        <f>('Input - Activity and Demand'!K$30*'Input - Throughput'!$N$5)/'Input - Capacity'!$I$22</f>
        <v>492.16775593287542</v>
      </c>
      <c r="M14" s="34">
        <f>('Input - Activity and Demand'!L$30*'Input - Throughput'!$N$5)/'Input - Capacity'!$I$22</f>
        <v>526.6194988481767</v>
      </c>
      <c r="N14" s="34">
        <f>('Input - Activity and Demand'!M$30*'Input - Throughput'!$N$5)/'Input - Capacity'!$I$22</f>
        <v>563.48286376754902</v>
      </c>
      <c r="O14" s="34">
        <f>('Input - Activity and Demand'!N$30*'Input - Throughput'!$N$5)/'Input - Capacity'!$I$22</f>
        <v>602.92666423127741</v>
      </c>
      <c r="P14" s="34">
        <f>('Input - Activity and Demand'!O$30*'Input - Throughput'!$N$5)/'Input - Capacity'!$I$22</f>
        <v>645.13153072746684</v>
      </c>
      <c r="Q14" s="34">
        <f>('Input - Activity and Demand'!P$30*'Input - Throughput'!$N$5)/'Input - Capacity'!$I$22</f>
        <v>690.29073787838956</v>
      </c>
    </row>
    <row r="15" spans="1:18" s="3" customFormat="1" ht="14.55" customHeight="1" thickBot="1" x14ac:dyDescent="0.4">
      <c r="A15" s="337"/>
      <c r="B15" s="337"/>
      <c r="C15" s="334"/>
      <c r="D15" s="334"/>
      <c r="E15" s="334"/>
      <c r="F15" s="334"/>
      <c r="G15" s="334"/>
      <c r="H15" s="79">
        <f>('Input - Activity and Demand'!G$31*'Input - Throughput'!$N$5)/'Input - Capacity'!$I$22</f>
        <v>382.49060068471834</v>
      </c>
      <c r="I15" s="79">
        <f>('Input - Activity and Demand'!H$31*'Input - Throughput'!$N$5)/'Input - Capacity'!$I$22</f>
        <v>416.91475474634296</v>
      </c>
      <c r="J15" s="79">
        <f>('Input - Activity and Demand'!I$31*'Input - Throughput'!$N$5)/'Input - Capacity'!$I$22</f>
        <v>454.43708267351383</v>
      </c>
      <c r="K15" s="79">
        <f>('Input - Activity and Demand'!J$31*'Input - Throughput'!$N$5)/'Input - Capacity'!$I$22</f>
        <v>495.33642011413008</v>
      </c>
      <c r="L15" s="79">
        <f>('Input - Activity and Demand'!K$31*'Input - Throughput'!$N$5)/'Input - Capacity'!$I$22</f>
        <v>539.91669792440177</v>
      </c>
      <c r="M15" s="79">
        <f>('Input - Activity and Demand'!L$31*'Input - Throughput'!$N$5)/'Input - Capacity'!$I$22</f>
        <v>588.50920073759801</v>
      </c>
      <c r="N15" s="79">
        <f>('Input - Activity and Demand'!M$31*'Input - Throughput'!$N$5)/'Input - Capacity'!$I$22</f>
        <v>641.47502880398179</v>
      </c>
      <c r="O15" s="79">
        <f>('Input - Activity and Demand'!N$31*'Input - Throughput'!$N$5)/'Input - Capacity'!$I$22</f>
        <v>699.20778139634012</v>
      </c>
      <c r="P15" s="79">
        <f>('Input - Activity and Demand'!O$31*'Input - Throughput'!$N$5)/'Input - Capacity'!$I$22</f>
        <v>762.13648172201067</v>
      </c>
      <c r="Q15" s="79">
        <f>('Input - Activity and Demand'!P$31*'Input - Throughput'!$N$5)/'Input - Capacity'!$I$22</f>
        <v>830.72876507699164</v>
      </c>
    </row>
    <row r="16" spans="1:18" s="3" customFormat="1" ht="14.55" customHeight="1" thickTop="1" x14ac:dyDescent="0.35">
      <c r="A16" s="80" t="s">
        <v>39</v>
      </c>
      <c r="B16" s="81" t="s">
        <v>31</v>
      </c>
      <c r="C16" s="147">
        <f>SUM(C5:C6)</f>
        <v>424.42540143629469</v>
      </c>
      <c r="D16" s="147">
        <f t="shared" ref="D16:H16" si="0">SUM(D5:D6)</f>
        <v>426.36488340192045</v>
      </c>
      <c r="E16" s="147">
        <f t="shared" si="0"/>
        <v>416.82372306947474</v>
      </c>
      <c r="F16" s="147">
        <f t="shared" si="0"/>
        <v>303.29240700395388</v>
      </c>
      <c r="G16" s="147">
        <f t="shared" si="0"/>
        <v>366.19084967320265</v>
      </c>
      <c r="H16" s="147">
        <f t="shared" si="0"/>
        <v>369.85275816993465</v>
      </c>
      <c r="I16" s="147">
        <f t="shared" ref="I16:Q16" si="1">SUM(I5:I6)</f>
        <v>373.55128575163394</v>
      </c>
      <c r="J16" s="147">
        <f t="shared" si="1"/>
        <v>377.28679860915025</v>
      </c>
      <c r="K16" s="147">
        <f t="shared" si="1"/>
        <v>381.05966659524182</v>
      </c>
      <c r="L16" s="147">
        <f t="shared" si="1"/>
        <v>384.87026326119422</v>
      </c>
      <c r="M16" s="147">
        <f t="shared" si="1"/>
        <v>388.71896589380617</v>
      </c>
      <c r="N16" s="147">
        <f t="shared" si="1"/>
        <v>392.60615555274421</v>
      </c>
      <c r="O16" s="147">
        <f t="shared" si="1"/>
        <v>396.53221710827165</v>
      </c>
      <c r="P16" s="147">
        <f t="shared" si="1"/>
        <v>400.49753927935438</v>
      </c>
      <c r="Q16" s="147">
        <f t="shared" si="1"/>
        <v>404.50251467214792</v>
      </c>
      <c r="R16" s="82" t="s">
        <v>108</v>
      </c>
    </row>
    <row r="17" spans="1:18" s="28" customFormat="1" ht="14.55" customHeight="1" x14ac:dyDescent="0.35">
      <c r="A17" s="25" t="s">
        <v>95</v>
      </c>
      <c r="B17" s="338" t="s">
        <v>32</v>
      </c>
      <c r="C17" s="335">
        <f>SUM(C7:C15)</f>
        <v>1005.9609464156033</v>
      </c>
      <c r="D17" s="335">
        <f t="shared" ref="D17:G17" si="2">SUM(D7:D15)</f>
        <v>1035.2005718954247</v>
      </c>
      <c r="E17" s="335">
        <f t="shared" si="2"/>
        <v>1063.7216970121381</v>
      </c>
      <c r="F17" s="335">
        <f t="shared" si="2"/>
        <v>890.02192265795202</v>
      </c>
      <c r="G17" s="335">
        <f t="shared" si="2"/>
        <v>965.62915629214649</v>
      </c>
      <c r="H17" s="148">
        <f>SUM(H7:H9,H11:H14)</f>
        <v>1028.4145415758894</v>
      </c>
      <c r="I17" s="148">
        <f t="shared" ref="I17:Q17" si="3">SUM(I7:I9,I11:I14)</f>
        <v>1095.4535821247018</v>
      </c>
      <c r="J17" s="148">
        <f t="shared" si="3"/>
        <v>1167.0370264811963</v>
      </c>
      <c r="K17" s="148">
        <f t="shared" si="3"/>
        <v>1243.4755698661761</v>
      </c>
      <c r="L17" s="148">
        <f t="shared" si="3"/>
        <v>1325.1012262501183</v>
      </c>
      <c r="M17" s="148">
        <f t="shared" si="3"/>
        <v>1412.2687950193722</v>
      </c>
      <c r="N17" s="148">
        <f t="shared" si="3"/>
        <v>1505.3574287717033</v>
      </c>
      <c r="O17" s="148">
        <f t="shared" si="3"/>
        <v>1604.7723092280155</v>
      </c>
      <c r="P17" s="148">
        <f t="shared" si="3"/>
        <v>1710.946438730618</v>
      </c>
      <c r="Q17" s="148">
        <f t="shared" si="3"/>
        <v>1824.3425553154912</v>
      </c>
      <c r="R17" s="83" t="s">
        <v>109</v>
      </c>
    </row>
    <row r="18" spans="1:18" x14ac:dyDescent="0.45">
      <c r="A18" s="25" t="s">
        <v>96</v>
      </c>
      <c r="B18" s="339"/>
      <c r="C18" s="336"/>
      <c r="D18" s="336"/>
      <c r="E18" s="336"/>
      <c r="F18" s="336"/>
      <c r="G18" s="336"/>
      <c r="H18" s="148">
        <f>SUM(H7,H8,H10:H13,H15)</f>
        <v>1050.6000846820211</v>
      </c>
      <c r="I18" s="148">
        <f t="shared" ref="I18:Q18" si="4">SUM(I7,I8,I10:I13,I15)</f>
        <v>1143.6777025728811</v>
      </c>
      <c r="J18" s="148">
        <f t="shared" si="4"/>
        <v>1245.662843270801</v>
      </c>
      <c r="K18" s="148">
        <f t="shared" si="4"/>
        <v>1357.4372967093134</v>
      </c>
      <c r="L18" s="148">
        <f t="shared" si="4"/>
        <v>1479.9721333340744</v>
      </c>
      <c r="M18" s="148">
        <f t="shared" si="4"/>
        <v>1614.336894922757</v>
      </c>
      <c r="N18" s="148">
        <f t="shared" si="4"/>
        <v>1761.7097435382982</v>
      </c>
      <c r="O18" s="148">
        <f t="shared" si="4"/>
        <v>1923.3886694836463</v>
      </c>
      <c r="P18" s="148">
        <f t="shared" si="4"/>
        <v>2100.8038698280875</v>
      </c>
      <c r="Q18" s="148">
        <f t="shared" si="4"/>
        <v>2295.5314209198023</v>
      </c>
      <c r="R18" s="82" t="s">
        <v>110</v>
      </c>
    </row>
    <row r="19" spans="1:18" x14ac:dyDescent="0.45">
      <c r="A19" s="27"/>
      <c r="B19" s="27"/>
      <c r="C19" s="27"/>
      <c r="D19" s="27"/>
      <c r="E19" s="27"/>
      <c r="F19" s="27"/>
      <c r="G19" s="27"/>
      <c r="H19" s="27"/>
      <c r="I19" s="27"/>
      <c r="J19" s="27"/>
      <c r="K19" s="27"/>
      <c r="L19" s="27"/>
      <c r="M19" s="27"/>
      <c r="N19" s="27"/>
      <c r="O19" s="27"/>
    </row>
    <row r="20" spans="1:18" x14ac:dyDescent="0.45">
      <c r="A20" s="65" t="s">
        <v>69</v>
      </c>
      <c r="B20" s="23"/>
      <c r="C20" s="324" t="s">
        <v>105</v>
      </c>
      <c r="D20" s="324"/>
      <c r="E20" s="324"/>
      <c r="F20" s="324"/>
      <c r="G20" s="324"/>
      <c r="H20" s="333" t="s">
        <v>104</v>
      </c>
      <c r="I20" s="333"/>
      <c r="J20" s="333"/>
      <c r="K20" s="333"/>
      <c r="L20" s="333"/>
      <c r="M20" s="333"/>
      <c r="N20" s="333"/>
      <c r="O20" s="333"/>
      <c r="P20" s="333"/>
      <c r="Q20" s="333"/>
    </row>
    <row r="21" spans="1:18" x14ac:dyDescent="0.45">
      <c r="A21" s="25" t="s">
        <v>127</v>
      </c>
      <c r="B21" s="25" t="s">
        <v>50</v>
      </c>
      <c r="C21" s="8" t="s">
        <v>35</v>
      </c>
      <c r="D21" s="8" t="s">
        <v>36</v>
      </c>
      <c r="E21" s="8" t="s">
        <v>7</v>
      </c>
      <c r="F21" s="8" t="s">
        <v>37</v>
      </c>
      <c r="G21" s="8" t="s">
        <v>38</v>
      </c>
      <c r="H21" s="33" t="s">
        <v>41</v>
      </c>
      <c r="I21" s="8" t="s">
        <v>42</v>
      </c>
      <c r="J21" s="8" t="s">
        <v>43</v>
      </c>
      <c r="K21" s="8" t="s">
        <v>44</v>
      </c>
      <c r="L21" s="8" t="s">
        <v>45</v>
      </c>
      <c r="M21" s="8" t="s">
        <v>59</v>
      </c>
      <c r="N21" s="8" t="s">
        <v>60</v>
      </c>
      <c r="O21" s="8" t="s">
        <v>70</v>
      </c>
      <c r="P21" s="8" t="s">
        <v>71</v>
      </c>
      <c r="Q21" s="8" t="s">
        <v>72</v>
      </c>
    </row>
    <row r="22" spans="1:18" s="3" customFormat="1" ht="14.55" customHeight="1" x14ac:dyDescent="0.35">
      <c r="A22" s="8" t="s">
        <v>435</v>
      </c>
      <c r="B22" s="283" t="s">
        <v>437</v>
      </c>
      <c r="C22" s="257">
        <f>'Input - Throughput'!$AA$12*(C16+C17+C30+'Radiologists &amp; Reporting Radiog'!B30+Sonographers!C5)</f>
        <v>310.57127496590817</v>
      </c>
      <c r="D22" s="257">
        <f>'Input - Throughput'!$AA$12*(D16+D17+D30+'Radiologists &amp; Reporting Radiog'!C30+Sonographers!D5)</f>
        <v>316.28205592063352</v>
      </c>
      <c r="E22" s="257">
        <f>'Input - Throughput'!$AA$12*(E16+E17+E30+'Radiologists &amp; Reporting Radiog'!D30+Sonographers!E5)</f>
        <v>318.61605549060903</v>
      </c>
      <c r="F22" s="257">
        <f>'Input - Throughput'!$AA$12*(F16+F17+F30+'Radiologists &amp; Reporting Radiog'!E30+Sonographers!F5)</f>
        <v>254.1435043196895</v>
      </c>
      <c r="G22" s="257">
        <f>'Input - Throughput'!$AA$12*(G16+G17+G30+'Radiologists &amp; Reporting Radiog'!F30+Sonographers!G5)</f>
        <v>283.77406039884232</v>
      </c>
      <c r="H22" s="29">
        <f>'Input - Throughput'!$AA$12*(H16+H17+H30+'Radiologists &amp; Reporting Radiog'!G30+Sonographers!H5)</f>
        <v>297.44889728259813</v>
      </c>
      <c r="I22" s="29">
        <f>'Input - Throughput'!$AA$12*(I16+I17+I30+'Radiologists &amp; Reporting Radiog'!H30+Sonographers!I5)</f>
        <v>311.96708244112079</v>
      </c>
      <c r="J22" s="29">
        <f>'Input - Throughput'!$AA$12*(J16+J17+J30+'Radiologists &amp; Reporting Radiog'!I30+Sonographers!J5)</f>
        <v>327.38409210128731</v>
      </c>
      <c r="K22" s="29">
        <f>'Input - Throughput'!$AA$12*(K16+K17+K30+'Radiologists &amp; Reporting Radiog'!J30+Sonographers!K5)</f>
        <v>343.75913311180454</v>
      </c>
      <c r="L22" s="29">
        <f>'Input - Throughput'!$AA$12*(L16+L17+L30+'Radiologists &amp; Reporting Radiog'!K30+Sonographers!L5)</f>
        <v>361.15539665254278</v>
      </c>
      <c r="M22" s="29">
        <f>'Input - Throughput'!$AA$12*(M16+M17+M30+'Radiologists &amp; Reporting Radiog'!L30+Sonographers!M5)</f>
        <v>379.64032931959235</v>
      </c>
      <c r="N22" s="29">
        <f>'Input - Throughput'!$AA$12*(N16+N17+N30+'Radiologists &amp; Reporting Radiog'!M30+Sonographers!N5)</f>
        <v>399.2859227817242</v>
      </c>
      <c r="O22" s="29">
        <f>'Input - Throughput'!$AA$12*(O16+O17+O30+'Radiologists &amp; Reporting Radiog'!N30+Sonographers!O5)</f>
        <v>420.16902328649064</v>
      </c>
      <c r="P22" s="29">
        <f>'Input - Throughput'!$AA$12*(P16+P17+P30+'Radiologists &amp; Reporting Radiog'!O30+Sonographers!P5)</f>
        <v>442.37166238246954</v>
      </c>
      <c r="Q22" s="29">
        <f>'Input - Throughput'!$AA$12*(Q16+Q17+Q30+'Radiologists &amp; Reporting Radiog'!P30+Sonographers!Q5)</f>
        <v>465.98141031854431</v>
      </c>
      <c r="R22" s="83" t="s">
        <v>182</v>
      </c>
    </row>
    <row r="23" spans="1:18" s="3" customFormat="1" ht="14.55" customHeight="1" x14ac:dyDescent="0.35">
      <c r="A23" s="8" t="s">
        <v>436</v>
      </c>
      <c r="B23" s="284"/>
      <c r="C23" s="258"/>
      <c r="D23" s="258"/>
      <c r="E23" s="258"/>
      <c r="F23" s="258"/>
      <c r="G23" s="258"/>
      <c r="H23" s="29">
        <f>'Input - Throughput'!$AA$12*(H16+H18+H31+'Radiologists &amp; Reporting Radiog'!G30+Sonographers!H6)</f>
        <v>302.26506694296603</v>
      </c>
      <c r="I23" s="29">
        <f>'Input - Throughput'!$AA$12*(I16+I18+I31+'Radiologists &amp; Reporting Radiog'!H30+Sonographers!I6)</f>
        <v>322.37851407429844</v>
      </c>
      <c r="J23" s="29">
        <f>'Input - Throughput'!$AA$12*(J16+J18+J31+'Radiologists &amp; Reporting Radiog'!I30+Sonographers!J6)</f>
        <v>344.26862929286102</v>
      </c>
      <c r="K23" s="29">
        <f>'Input - Throughput'!$AA$12*(K16+K18+K31+'Radiologists &amp; Reporting Radiog'!J30+Sonographers!K6)</f>
        <v>368.10487929969565</v>
      </c>
      <c r="L23" s="29">
        <f>'Input - Throughput'!$AA$12*(L16+L18+L31+'Radiologists &amp; Reporting Radiog'!K30+Sonographers!L6)</f>
        <v>394.07351521500885</v>
      </c>
      <c r="M23" s="29">
        <f>'Input - Throughput'!$AA$12*(M16+M18+M31+'Radiologists &amp; Reporting Radiog'!L30+Sonographers!M6)</f>
        <v>422.37927739444905</v>
      </c>
      <c r="N23" s="29">
        <f>'Input - Throughput'!$AA$12*(N16+N18+N31+'Radiologists &amp; Reporting Radiog'!M30+Sonographers!N6)</f>
        <v>453.24727655052936</v>
      </c>
      <c r="O23" s="29">
        <f>'Input - Throughput'!$AA$12*(O16+O18+O31+'Radiologists &amp; Reporting Radiog'!N30+Sonographers!O6)</f>
        <v>486.92506965268745</v>
      </c>
      <c r="P23" s="29">
        <f>'Input - Throughput'!$AA$12*(P16+P18+P31+'Radiologists &amp; Reporting Radiog'!O30+Sonographers!P6)</f>
        <v>523.6849510341516</v>
      </c>
      <c r="Q23" s="29">
        <f>'Input - Throughput'!$AA$12*(Q16+Q18+Q31+'Radiologists &amp; Reporting Radiog'!P30+Sonographers!Q6)</f>
        <v>563.82648129684992</v>
      </c>
      <c r="R23" s="82" t="s">
        <v>183</v>
      </c>
    </row>
    <row r="24" spans="1:18" x14ac:dyDescent="0.45">
      <c r="A24" s="27"/>
      <c r="B24" s="27"/>
      <c r="C24" s="27"/>
      <c r="D24" s="27"/>
      <c r="E24" s="27"/>
      <c r="F24" s="27"/>
      <c r="G24" s="27"/>
      <c r="H24" s="27"/>
      <c r="I24" s="27"/>
      <c r="J24" s="27"/>
      <c r="K24" s="27"/>
      <c r="L24" s="27"/>
      <c r="M24" s="27"/>
      <c r="N24" s="27"/>
      <c r="O24" s="27"/>
    </row>
    <row r="25" spans="1:18" x14ac:dyDescent="0.45">
      <c r="A25" s="65" t="s">
        <v>69</v>
      </c>
      <c r="B25" s="23"/>
      <c r="C25" s="324" t="s">
        <v>441</v>
      </c>
      <c r="D25" s="324"/>
      <c r="E25" s="324"/>
      <c r="F25" s="324"/>
      <c r="G25" s="324"/>
      <c r="H25" s="333" t="s">
        <v>442</v>
      </c>
      <c r="I25" s="333"/>
      <c r="J25" s="333"/>
      <c r="K25" s="333"/>
      <c r="L25" s="333"/>
      <c r="M25" s="333"/>
      <c r="N25" s="333"/>
      <c r="O25" s="333"/>
      <c r="P25" s="333"/>
      <c r="Q25" s="333"/>
    </row>
    <row r="26" spans="1:18" x14ac:dyDescent="0.45">
      <c r="A26" s="25" t="s">
        <v>127</v>
      </c>
      <c r="B26" s="25" t="s">
        <v>50</v>
      </c>
      <c r="C26" s="8" t="s">
        <v>35</v>
      </c>
      <c r="D26" s="8" t="s">
        <v>36</v>
      </c>
      <c r="E26" s="8" t="s">
        <v>7</v>
      </c>
      <c r="F26" s="8" t="s">
        <v>37</v>
      </c>
      <c r="G26" s="8" t="s">
        <v>38</v>
      </c>
      <c r="H26" s="33" t="s">
        <v>41</v>
      </c>
      <c r="I26" s="8" t="s">
        <v>42</v>
      </c>
      <c r="J26" s="8" t="s">
        <v>43</v>
      </c>
      <c r="K26" s="8" t="s">
        <v>44</v>
      </c>
      <c r="L26" s="8" t="s">
        <v>45</v>
      </c>
      <c r="M26" s="8" t="s">
        <v>59</v>
      </c>
      <c r="N26" s="8" t="s">
        <v>60</v>
      </c>
      <c r="O26" s="8" t="s">
        <v>70</v>
      </c>
      <c r="P26" s="8" t="s">
        <v>71</v>
      </c>
      <c r="Q26" s="8" t="s">
        <v>72</v>
      </c>
    </row>
    <row r="27" spans="1:18" s="3" customFormat="1" ht="14.55" customHeight="1" x14ac:dyDescent="0.35">
      <c r="A27" s="8" t="s">
        <v>130</v>
      </c>
      <c r="B27" s="283" t="s">
        <v>128</v>
      </c>
      <c r="C27" s="257">
        <f>('Input - Throughput'!$W$12*(Sonographers!C5+'Radiologists &amp; Reporting Radiog'!B8))+('Input - Throughput'!$W$17*C17)</f>
        <v>482.46450581049407</v>
      </c>
      <c r="D27" s="257">
        <f>('Input - Throughput'!$W$12*(Sonographers!D5+'Radiologists &amp; Reporting Radiog'!C8))+('Input - Throughput'!$W$17*D17)</f>
        <v>491.3819310841983</v>
      </c>
      <c r="E27" s="257">
        <f>('Input - Throughput'!$W$12*(Sonographers!E5+'Radiologists &amp; Reporting Radiog'!D8))+('Input - Throughput'!$W$17*E17)</f>
        <v>495.89093643928152</v>
      </c>
      <c r="F27" s="257">
        <f>('Input - Throughput'!$W$12*(Sonographers!F5+'Radiologists &amp; Reporting Radiog'!E8))+('Input - Throughput'!$W$17*F17)</f>
        <v>400.13654608804302</v>
      </c>
      <c r="G27" s="257">
        <f>('Input - Throughput'!$W$12*(Sonographers!G5+'Radiologists &amp; Reporting Radiog'!F8))+('Input - Throughput'!$W$17*G17)</f>
        <v>438.05495493262663</v>
      </c>
      <c r="H27" s="29">
        <f>('Input - Throughput'!$W$12*(Sonographers!H5+'Radiologists &amp; Reporting Radiog'!G8))+('Input - Throughput'!$W$17*'Diagnostic Radiography'!H17)</f>
        <v>462.82521883954882</v>
      </c>
      <c r="I27" s="29">
        <f>('Input - Throughput'!$W$12*(Sonographers!I5+'Radiologists &amp; Reporting Radiog'!H8))+('Input - Throughput'!$W$17*'Diagnostic Radiography'!I17)</f>
        <v>489.1089652588638</v>
      </c>
      <c r="J27" s="29">
        <f>('Input - Throughput'!$W$12*(Sonographers!J5+'Radiologists &amp; Reporting Radiog'!I8))+('Input - Throughput'!$W$17*'Diagnostic Radiography'!J17)</f>
        <v>517.00291419067025</v>
      </c>
      <c r="K27" s="29">
        <f>('Input - Throughput'!$W$12*(Sonographers!K5+'Radiologists &amp; Reporting Radiog'!J8))+('Input - Throughput'!$W$17*'Diagnostic Radiography'!K17)</f>
        <v>546.61014945601676</v>
      </c>
      <c r="L27" s="29">
        <f>('Input - Throughput'!$W$12*(Sonographers!L5+'Radiologists &amp; Reporting Radiog'!K8))+('Input - Throughput'!$W$17*'Diagnostic Radiography'!L17)</f>
        <v>578.04054551104593</v>
      </c>
      <c r="M27" s="29">
        <f>('Input - Throughput'!$W$12*(Sonographers!M5+'Radiologists &amp; Reporting Radiog'!L8))+('Input - Throughput'!$W$17*'Diagnostic Radiography'!M17)</f>
        <v>611.41122324726257</v>
      </c>
      <c r="N27" s="29">
        <f>('Input - Throughput'!$W$12*(Sonographers!N5+'Radiologists &amp; Reporting Radiog'!M8))+('Input - Throughput'!$W$17*'Diagnostic Radiography'!N17)</f>
        <v>646.84703676261995</v>
      </c>
      <c r="O27" s="29">
        <f>('Input - Throughput'!$W$12*(Sonographers!O5+'Radiologists &amp; Reporting Radiog'!N8))+('Input - Throughput'!$W$17*'Diagnostic Radiography'!O17)</f>
        <v>684.48109322475784</v>
      </c>
      <c r="P27" s="29">
        <f>('Input - Throughput'!$W$12*(Sonographers!P5+'Radiologists &amp; Reporting Radiog'!O8))+('Input - Throughput'!$W$17*'Diagnostic Radiography'!P17)</f>
        <v>724.45530809379284</v>
      </c>
      <c r="Q27" s="29">
        <f>('Input - Throughput'!$W$12*(Sonographers!Q5+'Radiologists &amp; Reporting Radiog'!P8))+('Input - Throughput'!$W$17*'Diagnostic Radiography'!Q17)</f>
        <v>766.92099812823903</v>
      </c>
      <c r="R27" s="83" t="s">
        <v>134</v>
      </c>
    </row>
    <row r="28" spans="1:18" s="3" customFormat="1" ht="14.55" customHeight="1" x14ac:dyDescent="0.35">
      <c r="A28" s="8" t="s">
        <v>131</v>
      </c>
      <c r="B28" s="284"/>
      <c r="C28" s="258"/>
      <c r="D28" s="258"/>
      <c r="E28" s="258"/>
      <c r="F28" s="258"/>
      <c r="G28" s="258"/>
      <c r="H28" s="29">
        <f>('Input - Throughput'!$W$12*(Sonographers!H6+'Radiologists &amp; Reporting Radiog'!G9))+('Input - Throughput'!$W$17*'Diagnostic Radiography'!H18)</f>
        <v>472.44820593228803</v>
      </c>
      <c r="I28" s="29">
        <f>('Input - Throughput'!$W$12*(Sonographers!I6+'Radiologists &amp; Reporting Radiog'!H9))+('Input - Throughput'!$W$17*'Diagnostic Radiography'!I18)</f>
        <v>509.80758213120691</v>
      </c>
      <c r="J28" s="29">
        <f>('Input - Throughput'!$W$12*(Sonographers!J6+'Radiologists &amp; Reporting Radiog'!I9))+('Input - Throughput'!$W$17*'Diagnostic Radiography'!J18)</f>
        <v>550.40538062214341</v>
      </c>
      <c r="K28" s="29">
        <f>('Input - Throughput'!$W$12*(Sonographers!K6+'Radiologists &amp; Reporting Radiog'!J9))+('Input - Throughput'!$W$17*'Diagnostic Radiography'!K18)</f>
        <v>594.54010831215135</v>
      </c>
      <c r="L28" s="29">
        <f>('Input - Throughput'!$W$12*(Sonographers!L6+'Radiologists &amp; Reporting Radiog'!K9))+('Input - Throughput'!$W$17*'Diagnostic Radiography'!L18)</f>
        <v>642.53909445754107</v>
      </c>
      <c r="M28" s="29">
        <f>('Input - Throughput'!$W$12*(Sonographers!M6+'Radiologists &amp; Reporting Radiog'!L9))+('Input - Throughput'!$W$17*'Diagnostic Radiography'!M18)</f>
        <v>694.76137020158501</v>
      </c>
      <c r="N28" s="29">
        <f>('Input - Throughput'!$W$12*(Sonographers!N6+'Radiologists &amp; Reporting Radiog'!M9))+('Input - Throughput'!$W$17*'Diagnostic Radiography'!N18)</f>
        <v>751.6008428897328</v>
      </c>
      <c r="O28" s="29">
        <f>('Input - Throughput'!$W$12*(Sonographers!O6+'Radiologists &amp; Reporting Radiog'!N9))+('Input - Throughput'!$W$17*'Diagnostic Radiography'!O18)</f>
        <v>813.48979586303187</v>
      </c>
      <c r="P28" s="29">
        <f>('Input - Throughput'!$W$12*(Sonographers!P6+'Radiologists &amp; Reporting Radiog'!O9))+('Input - Throughput'!$W$17*'Diagnostic Radiography'!P18)</f>
        <v>880.90274766744051</v>
      </c>
      <c r="Q28" s="29">
        <f>('Input - Throughput'!$W$12*(Sonographers!Q6+'Radiologists &amp; Reporting Radiog'!P9))+('Input - Throughput'!$W$17*'Diagnostic Radiography'!Q18)</f>
        <v>954.36070819809584</v>
      </c>
      <c r="R28" s="82" t="s">
        <v>135</v>
      </c>
    </row>
    <row r="29" spans="1:18" s="3" customFormat="1" ht="14.55" customHeight="1" x14ac:dyDescent="0.35">
      <c r="A29" s="8" t="s">
        <v>129</v>
      </c>
      <c r="B29" s="8" t="s">
        <v>46</v>
      </c>
      <c r="C29" s="29">
        <f>'Input - Throughput'!$Y$12*C16</f>
        <v>127.3276204308884</v>
      </c>
      <c r="D29" s="29">
        <f>'Input - Throughput'!$Y$12*D16</f>
        <v>127.90946502057614</v>
      </c>
      <c r="E29" s="29">
        <f>'Input - Throughput'!$Y$12*E16</f>
        <v>125.04711692084241</v>
      </c>
      <c r="F29" s="29">
        <f>'Input - Throughput'!$Y$12*F16</f>
        <v>90.987722101186165</v>
      </c>
      <c r="G29" s="29">
        <f>'Input - Throughput'!$Y$12*G16</f>
        <v>109.85725490196079</v>
      </c>
      <c r="H29" s="29">
        <f>'Input - Throughput'!$Y$12*H16</f>
        <v>110.95582745098039</v>
      </c>
      <c r="I29" s="29">
        <f>'Input - Throughput'!$Y$12*I16</f>
        <v>112.06538572549017</v>
      </c>
      <c r="J29" s="29">
        <f>'Input - Throughput'!$Y$12*J16</f>
        <v>113.18603958274507</v>
      </c>
      <c r="K29" s="29">
        <f>'Input - Throughput'!$Y$12*K16</f>
        <v>114.31789997857254</v>
      </c>
      <c r="L29" s="29">
        <f>'Input - Throughput'!$Y$12*L16</f>
        <v>115.46107897835826</v>
      </c>
      <c r="M29" s="29">
        <f>'Input - Throughput'!$Y$12*M16</f>
        <v>116.61568976814185</v>
      </c>
      <c r="N29" s="29">
        <f>'Input - Throughput'!$Y$12*N16</f>
        <v>117.78184666582325</v>
      </c>
      <c r="O29" s="29">
        <f>'Input - Throughput'!$Y$12*O16</f>
        <v>118.95966513248149</v>
      </c>
      <c r="P29" s="29">
        <f>'Input - Throughput'!$Y$12*P16</f>
        <v>120.14926178380631</v>
      </c>
      <c r="Q29" s="29">
        <f>'Input - Throughput'!$Y$12*Q16</f>
        <v>121.35075440164437</v>
      </c>
      <c r="R29" s="82" t="s">
        <v>46</v>
      </c>
    </row>
    <row r="30" spans="1:18" s="3" customFormat="1" ht="14.55" customHeight="1" x14ac:dyDescent="0.35">
      <c r="A30" s="137" t="s">
        <v>178</v>
      </c>
      <c r="B30" s="340" t="s">
        <v>172</v>
      </c>
      <c r="C30" s="335">
        <f>SUM(C27:C29)</f>
        <v>609.79212624138245</v>
      </c>
      <c r="D30" s="335">
        <f t="shared" ref="D30:G30" si="5">SUM(D27:D29)</f>
        <v>619.29139610477444</v>
      </c>
      <c r="E30" s="335">
        <f t="shared" si="5"/>
        <v>620.93805336012394</v>
      </c>
      <c r="F30" s="335">
        <f t="shared" si="5"/>
        <v>491.12426818922916</v>
      </c>
      <c r="G30" s="335">
        <f t="shared" si="5"/>
        <v>547.91220983458743</v>
      </c>
      <c r="H30" s="148">
        <f>H27+H29</f>
        <v>573.78104629052928</v>
      </c>
      <c r="I30" s="148">
        <f t="shared" ref="I30:Q30" si="6">I27+I29</f>
        <v>601.17435098435396</v>
      </c>
      <c r="J30" s="148">
        <f t="shared" si="6"/>
        <v>630.18895377341528</v>
      </c>
      <c r="K30" s="148">
        <f t="shared" si="6"/>
        <v>660.9280494345893</v>
      </c>
      <c r="L30" s="148">
        <f t="shared" si="6"/>
        <v>693.50162448940421</v>
      </c>
      <c r="M30" s="148">
        <f t="shared" si="6"/>
        <v>728.02691301540438</v>
      </c>
      <c r="N30" s="148">
        <f t="shared" si="6"/>
        <v>764.62888342844326</v>
      </c>
      <c r="O30" s="148">
        <f t="shared" si="6"/>
        <v>803.44075835723936</v>
      </c>
      <c r="P30" s="148">
        <f t="shared" si="6"/>
        <v>844.60456987759915</v>
      </c>
      <c r="Q30" s="148">
        <f t="shared" si="6"/>
        <v>888.27175252988343</v>
      </c>
      <c r="R30" s="82" t="s">
        <v>180</v>
      </c>
    </row>
    <row r="31" spans="1:18" s="3" customFormat="1" ht="14.55" customHeight="1" x14ac:dyDescent="0.35">
      <c r="A31" s="137" t="s">
        <v>179</v>
      </c>
      <c r="B31" s="341"/>
      <c r="C31" s="336"/>
      <c r="D31" s="336"/>
      <c r="E31" s="336"/>
      <c r="F31" s="336"/>
      <c r="G31" s="336"/>
      <c r="H31" s="148">
        <f>H28+H29</f>
        <v>583.40403338326837</v>
      </c>
      <c r="I31" s="148">
        <f t="shared" ref="I31:Q31" si="7">I28+I29</f>
        <v>621.87296785669707</v>
      </c>
      <c r="J31" s="148">
        <f t="shared" si="7"/>
        <v>663.59142020488844</v>
      </c>
      <c r="K31" s="148">
        <f t="shared" si="7"/>
        <v>708.85800829072389</v>
      </c>
      <c r="L31" s="148">
        <f t="shared" si="7"/>
        <v>758.00017343589934</v>
      </c>
      <c r="M31" s="148">
        <f t="shared" si="7"/>
        <v>811.37705996972682</v>
      </c>
      <c r="N31" s="148">
        <f t="shared" si="7"/>
        <v>869.382689555556</v>
      </c>
      <c r="O31" s="148">
        <f t="shared" si="7"/>
        <v>932.44946099551339</v>
      </c>
      <c r="P31" s="148">
        <f t="shared" si="7"/>
        <v>1001.0520094512468</v>
      </c>
      <c r="Q31" s="148">
        <f t="shared" si="7"/>
        <v>1075.7114625997401</v>
      </c>
      <c r="R31" s="82" t="s">
        <v>181</v>
      </c>
    </row>
    <row r="32" spans="1:18" ht="20" customHeight="1" x14ac:dyDescent="0.45">
      <c r="A32" s="27"/>
      <c r="B32" s="27"/>
      <c r="C32" s="27"/>
      <c r="D32" s="27"/>
      <c r="E32" s="27"/>
      <c r="F32" s="27"/>
      <c r="G32" s="27"/>
      <c r="H32" s="27"/>
      <c r="I32" s="27"/>
      <c r="J32" s="27"/>
      <c r="K32" s="27"/>
      <c r="L32" s="27"/>
      <c r="M32" s="27"/>
      <c r="N32" s="27"/>
      <c r="O32" s="27"/>
    </row>
    <row r="33" spans="1:18" ht="30" customHeight="1" x14ac:dyDescent="0.45">
      <c r="A33" s="146" t="s">
        <v>159</v>
      </c>
      <c r="B33" s="27"/>
      <c r="C33" s="3"/>
      <c r="D33" s="3"/>
      <c r="E33" s="3"/>
      <c r="F33" s="3"/>
      <c r="G33" s="3"/>
    </row>
    <row r="34" spans="1:18" x14ac:dyDescent="0.45">
      <c r="A34" s="64" t="s">
        <v>40</v>
      </c>
      <c r="B34" s="23"/>
      <c r="C34" s="324" t="s">
        <v>112</v>
      </c>
      <c r="D34" s="324"/>
      <c r="E34" s="333" t="s">
        <v>111</v>
      </c>
      <c r="F34" s="333"/>
      <c r="G34" s="333"/>
      <c r="H34" s="333"/>
      <c r="I34" s="333"/>
      <c r="J34" s="333"/>
      <c r="K34" s="333"/>
      <c r="L34" s="333"/>
      <c r="M34" s="333"/>
      <c r="N34" s="333"/>
      <c r="O34" s="333"/>
      <c r="P34" s="333"/>
      <c r="Q34" s="333"/>
    </row>
    <row r="35" spans="1:18" x14ac:dyDescent="0.45">
      <c r="A35" s="25" t="s">
        <v>22</v>
      </c>
      <c r="B35" s="25" t="s">
        <v>50</v>
      </c>
      <c r="C35" s="8" t="s">
        <v>35</v>
      </c>
      <c r="D35" s="8" t="s">
        <v>36</v>
      </c>
      <c r="E35" s="8" t="s">
        <v>7</v>
      </c>
      <c r="F35" s="8" t="s">
        <v>37</v>
      </c>
      <c r="G35" s="8" t="s">
        <v>38</v>
      </c>
      <c r="H35" s="33" t="s">
        <v>41</v>
      </c>
      <c r="I35" s="8" t="s">
        <v>42</v>
      </c>
      <c r="J35" s="8" t="s">
        <v>43</v>
      </c>
      <c r="K35" s="8" t="s">
        <v>44</v>
      </c>
      <c r="L35" s="8" t="s">
        <v>45</v>
      </c>
      <c r="M35" s="8" t="s">
        <v>59</v>
      </c>
      <c r="N35" s="8" t="s">
        <v>60</v>
      </c>
      <c r="O35" s="8" t="s">
        <v>70</v>
      </c>
      <c r="P35" s="8" t="s">
        <v>71</v>
      </c>
      <c r="Q35" s="8" t="s">
        <v>72</v>
      </c>
    </row>
    <row r="36" spans="1:18" s="3" customFormat="1" ht="14.55" customHeight="1" x14ac:dyDescent="0.35">
      <c r="A36" s="8" t="s">
        <v>169</v>
      </c>
      <c r="B36" s="8" t="s">
        <v>31</v>
      </c>
      <c r="C36" s="29">
        <f t="shared" ref="C36:D40" si="8">C5</f>
        <v>421.26652142338418</v>
      </c>
      <c r="D36" s="29">
        <f t="shared" si="8"/>
        <v>420.97119341563786</v>
      </c>
      <c r="E36" s="29">
        <f>('Input - Activity and Demand'!D$38*'Input - Throughput'!$N$14)/'Input - Capacity'!$I$16</f>
        <v>423.03571370935202</v>
      </c>
      <c r="F36" s="29">
        <f>('Input - Activity and Demand'!E$38*'Input - Throughput'!$N$14)/'Input - Capacity'!$I$16</f>
        <v>427.26607084644559</v>
      </c>
      <c r="G36" s="29">
        <f>('Input - Activity and Demand'!F$38*'Input - Throughput'!$N$14)/'Input - Capacity'!$I$16</f>
        <v>431.53873155491004</v>
      </c>
      <c r="H36" s="29">
        <f>('Input - Activity and Demand'!G$38*'Input - Throughput'!$N$14)/'Input - Capacity'!$I$16</f>
        <v>435.85411887045916</v>
      </c>
      <c r="I36" s="29">
        <f>('Input - Activity and Demand'!H$38*'Input - Throughput'!$N$14)/'Input - Capacity'!$I$16</f>
        <v>440.21266005916374</v>
      </c>
      <c r="J36" s="29">
        <f>('Input - Activity and Demand'!I$38*'Input - Throughput'!$N$14)/'Input - Capacity'!$I$16</f>
        <v>444.6147866597554</v>
      </c>
      <c r="K36" s="29">
        <f>('Input - Activity and Demand'!J$38*'Input - Throughput'!$N$14)/'Input - Capacity'!$I$16</f>
        <v>449.06093452635287</v>
      </c>
      <c r="L36" s="29">
        <f>('Input - Activity and Demand'!K$38*'Input - Throughput'!$N$14)/'Input - Capacity'!$I$16</f>
        <v>453.55154387161645</v>
      </c>
      <c r="M36" s="29">
        <f>('Input - Activity and Demand'!L$38*'Input - Throughput'!$N$14)/'Input - Capacity'!$I$16</f>
        <v>458.08705931033256</v>
      </c>
      <c r="N36" s="29">
        <f>('Input - Activity and Demand'!M$38*'Input - Throughput'!$N$14)/'Input - Capacity'!$I$16</f>
        <v>462.66792990343583</v>
      </c>
      <c r="O36" s="29">
        <f>('Input - Activity and Demand'!N$38*'Input - Throughput'!$N$14)/'Input - Capacity'!$I$16</f>
        <v>467.29460920247027</v>
      </c>
      <c r="P36" s="29">
        <f>('Input - Activity and Demand'!O$38*'Input - Throughput'!$N$14)/'Input - Capacity'!$I$16</f>
        <v>471.9675552944949</v>
      </c>
      <c r="Q36" s="29">
        <f>('Input - Activity and Demand'!P$38*'Input - Throughput'!$N$14)/'Input - Capacity'!$I$16</f>
        <v>476.68723084743982</v>
      </c>
    </row>
    <row r="37" spans="1:18" s="3" customFormat="1" ht="14.55" customHeight="1" x14ac:dyDescent="0.35">
      <c r="A37" s="8" t="s">
        <v>18</v>
      </c>
      <c r="B37" s="8" t="s">
        <v>31</v>
      </c>
      <c r="C37" s="29">
        <f t="shared" si="8"/>
        <v>3.1588800129105143</v>
      </c>
      <c r="D37" s="29">
        <f t="shared" si="8"/>
        <v>5.3936899862825793</v>
      </c>
      <c r="E37" s="29">
        <f>(('Input - Activity and Demand'!D$39*(1-'Input - Modelling Variables'!$C$53))*'Input - Throughput'!$N$7)/'Input - Capacity'!$I$16</f>
        <v>4.7786115818069339</v>
      </c>
      <c r="F37" s="29">
        <f>(('Input - Activity and Demand'!E$39*(1-'Input - Modelling Variables'!$C$53))*'Input - Throughput'!$N$7)/'Input - Capacity'!$I$16</f>
        <v>4.8263976976250031</v>
      </c>
      <c r="G37" s="29">
        <f>(('Input - Activity and Demand'!F$39*(1-'Input - Modelling Variables'!$C$53))*'Input - Throughput'!$N$7)/'Input - Capacity'!$I$16</f>
        <v>4.8746616746012528</v>
      </c>
      <c r="H37" s="29">
        <f>(('Input - Activity and Demand'!G$39*(1-'Input - Modelling Variables'!$C$53))*'Input - Throughput'!$N$7)/'Input - Capacity'!$I$16</f>
        <v>4.9234082913472665</v>
      </c>
      <c r="I37" s="29">
        <f>(('Input - Activity and Demand'!H$39*(1-'Input - Modelling Variables'!$C$53))*'Input - Throughput'!$N$7)/'Input - Capacity'!$I$16</f>
        <v>4.9726423742607384</v>
      </c>
      <c r="J37" s="29">
        <f>(('Input - Activity and Demand'!I$39*(1-'Input - Modelling Variables'!$C$53))*'Input - Throughput'!$N$7)/'Input - Capacity'!$I$16</f>
        <v>5.0223687980033453</v>
      </c>
      <c r="K37" s="29">
        <f>(('Input - Activity and Demand'!J$39*(1-'Input - Modelling Variables'!$C$53))*'Input - Throughput'!$N$7)/'Input - Capacity'!$I$16</f>
        <v>5.0725924859833791</v>
      </c>
      <c r="L37" s="29">
        <f>(('Input - Activity and Demand'!K$39*(1-'Input - Modelling Variables'!$C$53))*'Input - Throughput'!$N$7)/'Input - Capacity'!$I$16</f>
        <v>5.123318410843213</v>
      </c>
      <c r="M37" s="29">
        <f>(('Input - Activity and Demand'!L$39*(1-'Input - Modelling Variables'!$C$53))*'Input - Throughput'!$N$7)/'Input - Capacity'!$I$16</f>
        <v>5.1745515949516445</v>
      </c>
      <c r="N37" s="29">
        <f>(('Input - Activity and Demand'!M$39*(1-'Input - Modelling Variables'!$C$53))*'Input - Throughput'!$N$7)/'Input - Capacity'!$I$16</f>
        <v>5.2262971109011618</v>
      </c>
      <c r="O37" s="29">
        <f>(('Input - Activity and Demand'!N$39*(1-'Input - Modelling Variables'!$C$53))*'Input - Throughput'!$N$7)/'Input - Capacity'!$I$16</f>
        <v>5.2785600820101735</v>
      </c>
      <c r="P37" s="29">
        <f>(('Input - Activity and Demand'!O$39*(1-'Input - Modelling Variables'!$C$53))*'Input - Throughput'!$N$7)/'Input - Capacity'!$I$16</f>
        <v>5.3313456828302748</v>
      </c>
      <c r="Q37" s="29">
        <f>(('Input - Activity and Demand'!P$39*(1-'Input - Modelling Variables'!$C$53))*'Input - Throughput'!$N$7)/'Input - Capacity'!$I$16</f>
        <v>5.3846591396585772</v>
      </c>
    </row>
    <row r="38" spans="1:18" s="3" customFormat="1" ht="14.55" customHeight="1" x14ac:dyDescent="0.35">
      <c r="A38" s="10" t="s">
        <v>116</v>
      </c>
      <c r="B38" s="8" t="s">
        <v>32</v>
      </c>
      <c r="C38" s="29">
        <f t="shared" si="8"/>
        <v>21.388110799875506</v>
      </c>
      <c r="D38" s="29">
        <f t="shared" si="8"/>
        <v>21.117647058823529</v>
      </c>
      <c r="E38" s="29">
        <f>('Input - Activity and Demand'!D$40*'Input - Throughput'!$N$10)/'Input - Capacity'!$I$22</f>
        <v>20.755265068990553</v>
      </c>
      <c r="F38" s="29">
        <f>('Input - Activity and Demand'!E$40*'Input - Throughput'!$N$10)/'Input - Capacity'!$I$22</f>
        <v>20.962817719680462</v>
      </c>
      <c r="G38" s="29">
        <f>('Input - Activity and Demand'!F$40*'Input - Throughput'!$N$10)/'Input - Capacity'!$I$22</f>
        <v>21.172445896877264</v>
      </c>
      <c r="H38" s="29">
        <f>('Input - Activity and Demand'!G$40*'Input - Throughput'!$N$10)/'Input - Capacity'!$I$22</f>
        <v>21.384170355846042</v>
      </c>
      <c r="I38" s="29">
        <f>('Input - Activity and Demand'!H$40*'Input - Throughput'!$N$10)/'Input - Capacity'!$I$22</f>
        <v>21.5980120594045</v>
      </c>
      <c r="J38" s="29">
        <f>('Input - Activity and Demand'!I$40*'Input - Throughput'!$N$10)/'Input - Capacity'!$I$22</f>
        <v>21.813992179998543</v>
      </c>
      <c r="K38" s="29">
        <f>('Input - Activity and Demand'!J$40*'Input - Throughput'!$N$10)/'Input - Capacity'!$I$22</f>
        <v>22.032132101798531</v>
      </c>
      <c r="L38" s="29">
        <f>('Input - Activity and Demand'!K$40*'Input - Throughput'!$N$10)/'Input - Capacity'!$I$22</f>
        <v>22.252453422816519</v>
      </c>
      <c r="M38" s="29">
        <f>('Input - Activity and Demand'!L$40*'Input - Throughput'!$N$10)/'Input - Capacity'!$I$22</f>
        <v>22.474977957044683</v>
      </c>
      <c r="N38" s="29">
        <f>('Input - Activity and Demand'!M$40*'Input - Throughput'!$N$10)/'Input - Capacity'!$I$22</f>
        <v>22.699727736615131</v>
      </c>
      <c r="O38" s="29">
        <f>('Input - Activity and Demand'!N$40*'Input - Throughput'!$N$10)/'Input - Capacity'!$I$22</f>
        <v>22.926725013981287</v>
      </c>
      <c r="P38" s="29">
        <f>('Input - Activity and Demand'!O$40*'Input - Throughput'!$N$10)/'Input - Capacity'!$I$22</f>
        <v>23.1559922641211</v>
      </c>
      <c r="Q38" s="29">
        <f>('Input - Activity and Demand'!P$40*'Input - Throughput'!$N$10)/'Input - Capacity'!$I$22</f>
        <v>23.38755218676231</v>
      </c>
    </row>
    <row r="39" spans="1:18" s="3" customFormat="1" ht="14.55" customHeight="1" x14ac:dyDescent="0.35">
      <c r="A39" s="102" t="s">
        <v>9</v>
      </c>
      <c r="B39" s="104" t="s">
        <v>32</v>
      </c>
      <c r="C39" s="43">
        <f t="shared" si="8"/>
        <v>72.22368113912232</v>
      </c>
      <c r="D39" s="43">
        <f t="shared" si="8"/>
        <v>73.096113445378151</v>
      </c>
      <c r="E39" s="43">
        <f>(('Input - Activity and Demand'!D$43*'Input - Modelling Variables'!$C$41)*'Input - Throughput'!$N$13)/'Input - Capacity'!$I$22</f>
        <v>73.064503579209457</v>
      </c>
      <c r="F39" s="43">
        <f>(('Input - Activity and Demand'!E$43*'Input - Modelling Variables'!$C$41)*'Input - Throughput'!$N$13)/'Input - Capacity'!$I$22</f>
        <v>77.44837379396202</v>
      </c>
      <c r="G39" s="43">
        <f>(('Input - Activity and Demand'!F$43*'Input - Modelling Variables'!$C$41)*'Input - Throughput'!$N$13)/'Input - Capacity'!$I$22</f>
        <v>82.095276221599732</v>
      </c>
      <c r="H39" s="43">
        <f>(('Input - Activity and Demand'!G$43*'Input - Modelling Variables'!$C$41)*'Input - Throughput'!$N$13)/'Input - Capacity'!$I$22</f>
        <v>87.020992794895733</v>
      </c>
      <c r="I39" s="43">
        <f>(('Input - Activity and Demand'!H$43*'Input - Modelling Variables'!$C$41)*'Input - Throughput'!$N$13)/'Input - Capacity'!$I$22</f>
        <v>92.242252362589468</v>
      </c>
      <c r="J39" s="43">
        <f>(('Input - Activity and Demand'!I$43*'Input - Modelling Variables'!$C$41)*'Input - Throughput'!$N$13)/'Input - Capacity'!$I$22</f>
        <v>97.776787504344838</v>
      </c>
      <c r="K39" s="43">
        <f>(('Input - Activity and Demand'!J$43*'Input - Modelling Variables'!$C$41)*'Input - Throughput'!$N$13)/'Input - Capacity'!$I$22</f>
        <v>103.64339475460551</v>
      </c>
      <c r="L39" s="43">
        <f>(('Input - Activity and Demand'!K$43*'Input - Modelling Variables'!$C$41)*'Input - Throughput'!$N$13)/'Input - Capacity'!$I$22</f>
        <v>109.86199843988186</v>
      </c>
      <c r="M39" s="43">
        <f>(('Input - Activity and Demand'!L$43*'Input - Modelling Variables'!$C$41)*'Input - Throughput'!$N$13)/'Input - Capacity'!$I$22</f>
        <v>116.45371834627475</v>
      </c>
      <c r="N39" s="43">
        <f>(('Input - Activity and Demand'!M$43*'Input - Modelling Variables'!$C$41)*'Input - Throughput'!$N$13)/'Input - Capacity'!$I$22</f>
        <v>123.44094144705123</v>
      </c>
      <c r="O39" s="43">
        <f>(('Input - Activity and Demand'!N$43*'Input - Modelling Variables'!$C$41)*'Input - Throughput'!$N$13)/'Input - Capacity'!$I$22</f>
        <v>130.8473979338743</v>
      </c>
      <c r="P39" s="43">
        <f>(('Input - Activity and Demand'!O$43*'Input - Modelling Variables'!$C$41)*'Input - Throughput'!$N$13)/'Input - Capacity'!$I$22</f>
        <v>138.69824180990676</v>
      </c>
      <c r="Q39" s="43">
        <f>(('Input - Activity and Demand'!P$43*'Input - Modelling Variables'!$C$41)*'Input - Throughput'!$N$13)/'Input - Capacity'!$I$22</f>
        <v>147.02013631850116</v>
      </c>
    </row>
    <row r="40" spans="1:18" s="3" customFormat="1" ht="14.55" customHeight="1" x14ac:dyDescent="0.35">
      <c r="A40" s="283" t="s">
        <v>107</v>
      </c>
      <c r="B40" s="283" t="s">
        <v>32</v>
      </c>
      <c r="C40" s="257">
        <f t="shared" si="8"/>
        <v>450.93837535014006</v>
      </c>
      <c r="D40" s="257">
        <f t="shared" si="8"/>
        <v>465.27135854341736</v>
      </c>
      <c r="E40" s="34">
        <f>('Input - Activity and Demand'!D$44*'Input - Throughput'!$N$11)/'Input - Capacity'!$I$22</f>
        <v>476.97712418300648</v>
      </c>
      <c r="F40" s="34">
        <f>('Input - Activity and Demand'!E$44*'Input - Throughput'!$N$11)/'Input - Capacity'!$I$22</f>
        <v>510.36552287581691</v>
      </c>
      <c r="G40" s="34">
        <f>('Input - Activity and Demand'!F$44*'Input - Throughput'!$N$11)/'Input - Capacity'!$I$22</f>
        <v>546.09110947712406</v>
      </c>
      <c r="H40" s="34">
        <f>('Input - Activity and Demand'!G$44*'Input - Throughput'!$N$11)/'Input - Capacity'!$I$22</f>
        <v>584.31748714052276</v>
      </c>
      <c r="I40" s="34">
        <f>('Input - Activity and Demand'!H$44*'Input - Throughput'!$N$11)/'Input - Capacity'!$I$22</f>
        <v>625.21971124035929</v>
      </c>
      <c r="J40" s="34">
        <f>('Input - Activity and Demand'!I$44*'Input - Throughput'!$N$11)/'Input - Capacity'!$I$22</f>
        <v>668.98509102718447</v>
      </c>
      <c r="K40" s="34">
        <f>('Input - Activity and Demand'!J$44*'Input - Throughput'!$N$11)/'Input - Capacity'!$I$22</f>
        <v>715.81404739908737</v>
      </c>
      <c r="L40" s="34">
        <f>('Input - Activity and Demand'!K$44*'Input - Throughput'!$N$11)/'Input - Capacity'!$I$22</f>
        <v>765.92103071702354</v>
      </c>
      <c r="M40" s="34">
        <f>('Input - Activity and Demand'!L$44*'Input - Throughput'!$N$11)/'Input - Capacity'!$I$22</f>
        <v>819.5355028672152</v>
      </c>
      <c r="N40" s="34">
        <f>('Input - Activity and Demand'!M$44*'Input - Throughput'!$N$11)/'Input - Capacity'!$I$22</f>
        <v>876.90298806792021</v>
      </c>
      <c r="O40" s="34">
        <f>('Input - Activity and Demand'!N$44*'Input - Throughput'!$N$11)/'Input - Capacity'!$I$22</f>
        <v>938.28619723267468</v>
      </c>
      <c r="P40" s="34">
        <f>('Input - Activity and Demand'!O$44*'Input - Throughput'!$N$11)/'Input - Capacity'!$I$22</f>
        <v>1003.9662310389621</v>
      </c>
      <c r="Q40" s="34">
        <f>('Input - Activity and Demand'!P$44*'Input - Throughput'!$N$11)/'Input - Capacity'!$I$22</f>
        <v>1074.2438672116893</v>
      </c>
    </row>
    <row r="41" spans="1:18" s="3" customFormat="1" ht="14.55" customHeight="1" x14ac:dyDescent="0.35">
      <c r="A41" s="284"/>
      <c r="B41" s="284"/>
      <c r="C41" s="258"/>
      <c r="D41" s="258"/>
      <c r="E41" s="34">
        <f>('Input - Activity and Demand'!D$45*'Input - Throughput'!$N$11)/'Input - Capacity'!$I$22</f>
        <v>476.97712418300648</v>
      </c>
      <c r="F41" s="34">
        <f>('Input - Activity and Demand'!E$45*'Input - Throughput'!$N$11)/'Input - Capacity'!$I$22</f>
        <v>529.44460784313731</v>
      </c>
      <c r="G41" s="34">
        <f>('Input - Activity and Demand'!F$45*'Input - Throughput'!$N$11)/'Input - Capacity'!$I$22</f>
        <v>587.68351470588232</v>
      </c>
      <c r="H41" s="34">
        <f>('Input - Activity and Demand'!G$45*'Input - Throughput'!$N$11)/'Input - Capacity'!$I$22</f>
        <v>652.32870132352946</v>
      </c>
      <c r="I41" s="34">
        <f>('Input - Activity and Demand'!H$45*'Input - Throughput'!$N$11)/'Input - Capacity'!$I$22</f>
        <v>724.08485846911765</v>
      </c>
      <c r="J41" s="34">
        <f>('Input - Activity and Demand'!I$45*'Input - Throughput'!$N$11)/'Input - Capacity'!$I$22</f>
        <v>803.73419290072059</v>
      </c>
      <c r="K41" s="34">
        <f>('Input - Activity and Demand'!J$45*'Input - Throughput'!$N$11)/'Input - Capacity'!$I$22</f>
        <v>892.14495411979988</v>
      </c>
      <c r="L41" s="34">
        <f>('Input - Activity and Demand'!K$45*'Input - Throughput'!$N$11)/'Input - Capacity'!$I$22</f>
        <v>990.28089907297772</v>
      </c>
      <c r="M41" s="34">
        <f>('Input - Activity and Demand'!L$45*'Input - Throughput'!$N$11)/'Input - Capacity'!$I$22</f>
        <v>1099.2117979710056</v>
      </c>
      <c r="N41" s="34">
        <f>('Input - Activity and Demand'!M$45*'Input - Throughput'!$N$11)/'Input - Capacity'!$I$22</f>
        <v>1220.1250957478162</v>
      </c>
      <c r="O41" s="34">
        <f>('Input - Activity and Demand'!N$45*'Input - Throughput'!$N$11)/'Input - Capacity'!$I$22</f>
        <v>1354.3388562800758</v>
      </c>
      <c r="P41" s="34">
        <f>('Input - Activity and Demand'!O$45*'Input - Throughput'!$N$11)/'Input - Capacity'!$I$22</f>
        <v>1503.3161304708842</v>
      </c>
      <c r="Q41" s="34">
        <f>('Input - Activity and Demand'!P$45*'Input - Throughput'!$N$11)/'Input - Capacity'!$I$22</f>
        <v>1668.6809048226819</v>
      </c>
    </row>
    <row r="42" spans="1:18" s="28" customFormat="1" ht="14" customHeight="1" x14ac:dyDescent="0.35">
      <c r="A42" s="149" t="s">
        <v>25</v>
      </c>
      <c r="B42" s="149" t="s">
        <v>32</v>
      </c>
      <c r="C42" s="78">
        <f t="shared" ref="C42:D45" si="9">C11</f>
        <v>58.413865546218489</v>
      </c>
      <c r="D42" s="78">
        <f t="shared" si="9"/>
        <v>59.24894957983193</v>
      </c>
      <c r="E42" s="107">
        <f>('Input - Activity and Demand'!D$46*'Input - Throughput'!$N$11)/'Input - Capacity'!$I$22</f>
        <v>63.478057889822587</v>
      </c>
      <c r="F42" s="107">
        <f>('Input - Activity and Demand'!E$46*'Input - Throughput'!$N$11)/'Input - Capacity'!$I$22</f>
        <v>67.286741363211931</v>
      </c>
      <c r="G42" s="107">
        <f>('Input - Activity and Demand'!F$46*'Input - Throughput'!$N$11)/'Input - Capacity'!$I$22</f>
        <v>71.323945845004658</v>
      </c>
      <c r="H42" s="107">
        <f>('Input - Activity and Demand'!G$46*'Input - Throughput'!$N$11)/'Input - Capacity'!$I$22</f>
        <v>75.603382595704957</v>
      </c>
      <c r="I42" s="107">
        <f>('Input - Activity and Demand'!H$46*'Input - Throughput'!$N$11)/'Input - Capacity'!$I$22</f>
        <v>80.139585551447254</v>
      </c>
      <c r="J42" s="107">
        <f>('Input - Activity and Demand'!I$46*'Input - Throughput'!$N$11)/'Input - Capacity'!$I$22</f>
        <v>84.947960684534081</v>
      </c>
      <c r="K42" s="107">
        <f>('Input - Activity and Demand'!J$46*'Input - Throughput'!$N$11)/'Input - Capacity'!$I$22</f>
        <v>90.044838325606122</v>
      </c>
      <c r="L42" s="107">
        <f>('Input - Activity and Demand'!K$46*'Input - Throughput'!$N$11)/'Input - Capacity'!$I$22</f>
        <v>95.447528625142482</v>
      </c>
      <c r="M42" s="107">
        <f>('Input - Activity and Demand'!L$46*'Input - Throughput'!$N$11)/'Input - Capacity'!$I$22</f>
        <v>101.17438034265105</v>
      </c>
      <c r="N42" s="107">
        <f>('Input - Activity and Demand'!M$46*'Input - Throughput'!$N$11)/'Input - Capacity'!$I$22</f>
        <v>107.24484316321011</v>
      </c>
      <c r="O42" s="107">
        <f>('Input - Activity and Demand'!N$46*'Input - Throughput'!$N$11)/'Input - Capacity'!$I$22</f>
        <v>113.6795337530027</v>
      </c>
      <c r="P42" s="107">
        <f>('Input - Activity and Demand'!O$46*'Input - Throughput'!$N$11)/'Input - Capacity'!$I$22</f>
        <v>120.50030577818286</v>
      </c>
      <c r="Q42" s="107">
        <f>('Input - Activity and Demand'!P$46*'Input - Throughput'!$N$11)/'Input - Capacity'!$I$22</f>
        <v>127.73032412487382</v>
      </c>
    </row>
    <row r="43" spans="1:18" s="28" customFormat="1" ht="14" customHeight="1" x14ac:dyDescent="0.35">
      <c r="A43" s="149" t="s">
        <v>137</v>
      </c>
      <c r="B43" s="149" t="s">
        <v>32</v>
      </c>
      <c r="C43" s="78">
        <f t="shared" si="9"/>
        <v>58.413865546218489</v>
      </c>
      <c r="D43" s="78">
        <f t="shared" si="9"/>
        <v>59.24894957983193</v>
      </c>
      <c r="E43" s="78">
        <f>'Input - Throughput'!$U$18*E42</f>
        <v>63.478057889822587</v>
      </c>
      <c r="F43" s="78">
        <f>'Input - Throughput'!$U$18*F42</f>
        <v>67.286741363211931</v>
      </c>
      <c r="G43" s="78">
        <f>'Input - Throughput'!$U$18*G42</f>
        <v>71.323945845004658</v>
      </c>
      <c r="H43" s="78">
        <f>'Input - Throughput'!$U$18*H42</f>
        <v>75.603382595704957</v>
      </c>
      <c r="I43" s="78">
        <f>'Input - Throughput'!$U$18*I42</f>
        <v>80.139585551447254</v>
      </c>
      <c r="J43" s="78">
        <f>'Input - Throughput'!$U$18*J42</f>
        <v>84.947960684534081</v>
      </c>
      <c r="K43" s="78">
        <f>'Input - Throughput'!$U$18*K42</f>
        <v>90.044838325606122</v>
      </c>
      <c r="L43" s="78">
        <f>'Input - Throughput'!$U$18*L42</f>
        <v>95.447528625142482</v>
      </c>
      <c r="M43" s="78">
        <f>'Input - Throughput'!$U$18*M42</f>
        <v>101.17438034265105</v>
      </c>
      <c r="N43" s="78">
        <f>'Input - Throughput'!$U$18*N42</f>
        <v>107.24484316321011</v>
      </c>
      <c r="O43" s="78">
        <f>'Input - Throughput'!$U$18*O42</f>
        <v>113.6795337530027</v>
      </c>
      <c r="P43" s="78">
        <f>'Input - Throughput'!$U$18*P42</f>
        <v>120.50030577818286</v>
      </c>
      <c r="Q43" s="78">
        <f>'Input - Throughput'!$U$18*Q42</f>
        <v>127.73032412487382</v>
      </c>
    </row>
    <row r="44" spans="1:18" s="3" customFormat="1" ht="14.55" customHeight="1" x14ac:dyDescent="0.35">
      <c r="A44" s="77" t="s">
        <v>19</v>
      </c>
      <c r="B44" s="8" t="s">
        <v>32</v>
      </c>
      <c r="C44" s="78">
        <f t="shared" si="9"/>
        <v>28.805892727461355</v>
      </c>
      <c r="D44" s="78">
        <f t="shared" si="9"/>
        <v>31.208216619981325</v>
      </c>
      <c r="E44" s="78">
        <f>('Input - Activity and Demand'!D$47*'Input - Throughput'!$N$8)/'Input - Capacity'!$I$22</f>
        <v>33.592972991665803</v>
      </c>
      <c r="F44" s="78">
        <f>('Input - Activity and Demand'!E$47*'Input - Throughput'!$N$8)/'Input - Capacity'!$I$22</f>
        <v>33.92890272158246</v>
      </c>
      <c r="G44" s="78">
        <f>('Input - Activity and Demand'!F$47*'Input - Throughput'!$N$8)/'Input - Capacity'!$I$22</f>
        <v>34.26819174879828</v>
      </c>
      <c r="H44" s="78">
        <f>('Input - Activity and Demand'!G$47*'Input - Throughput'!$N$8)/'Input - Capacity'!$I$22</f>
        <v>34.61087366628626</v>
      </c>
      <c r="I44" s="78">
        <f>('Input - Activity and Demand'!H$47*'Input - Throughput'!$N$8)/'Input - Capacity'!$I$22</f>
        <v>34.956982402949123</v>
      </c>
      <c r="J44" s="78">
        <f>('Input - Activity and Demand'!I$47*'Input - Throughput'!$N$8)/'Input - Capacity'!$I$22</f>
        <v>35.306552226978617</v>
      </c>
      <c r="K44" s="78">
        <f>('Input - Activity and Demand'!J$47*'Input - Throughput'!$N$8)/'Input - Capacity'!$I$22</f>
        <v>35.659617749248397</v>
      </c>
      <c r="L44" s="78">
        <f>('Input - Activity and Demand'!K$47*'Input - Throughput'!$N$8)/'Input - Capacity'!$I$22</f>
        <v>36.016213926740889</v>
      </c>
      <c r="M44" s="78">
        <f>('Input - Activity and Demand'!L$47*'Input - Throughput'!$N$8)/'Input - Capacity'!$I$22</f>
        <v>36.376376066008298</v>
      </c>
      <c r="N44" s="78">
        <f>('Input - Activity and Demand'!M$47*'Input - Throughput'!$N$8)/'Input - Capacity'!$I$22</f>
        <v>36.740139826668376</v>
      </c>
      <c r="O44" s="78">
        <f>('Input - Activity and Demand'!N$47*'Input - Throughput'!$N$8)/'Input - Capacity'!$I$22</f>
        <v>37.107541224935055</v>
      </c>
      <c r="P44" s="78">
        <f>('Input - Activity and Demand'!O$47*'Input - Throughput'!$N$8)/'Input - Capacity'!$I$22</f>
        <v>37.478616637184409</v>
      </c>
      <c r="Q44" s="78">
        <f>('Input - Activity and Demand'!P$47*'Input - Throughput'!$N$8)/'Input - Capacity'!$I$22</f>
        <v>37.853402803556257</v>
      </c>
    </row>
    <row r="45" spans="1:18" s="3" customFormat="1" ht="14.55" customHeight="1" x14ac:dyDescent="0.35">
      <c r="A45" s="283" t="s">
        <v>6</v>
      </c>
      <c r="B45" s="283" t="s">
        <v>32</v>
      </c>
      <c r="C45" s="257">
        <f t="shared" si="9"/>
        <v>315.77715530656707</v>
      </c>
      <c r="D45" s="257">
        <f t="shared" si="9"/>
        <v>326.00933706816062</v>
      </c>
      <c r="E45" s="34">
        <f>('Input - Activity and Demand'!D$48*'Input - Throughput'!$N$5)/'Input - Capacity'!$I$22</f>
        <v>343.83566760037348</v>
      </c>
      <c r="F45" s="34">
        <f>('Input - Activity and Demand'!E$48*'Input - Throughput'!$N$5)/'Input - Capacity'!$I$22</f>
        <v>367.90416433239966</v>
      </c>
      <c r="G45" s="34">
        <f>('Input - Activity and Demand'!F$48*'Input - Throughput'!$N$5)/'Input - Capacity'!$I$22</f>
        <v>393.65745583566763</v>
      </c>
      <c r="H45" s="34">
        <f>('Input - Activity and Demand'!G$48*'Input - Throughput'!$N$5)/'Input - Capacity'!$I$22</f>
        <v>421.21347774416438</v>
      </c>
      <c r="I45" s="34">
        <f>('Input - Activity and Demand'!H$48*'Input - Throughput'!$N$5)/'Input - Capacity'!$I$22</f>
        <v>450.69842118625593</v>
      </c>
      <c r="J45" s="34">
        <f>('Input - Activity and Demand'!I$48*'Input - Throughput'!$N$5)/'Input - Capacity'!$I$22</f>
        <v>482.24731066929382</v>
      </c>
      <c r="K45" s="34">
        <f>('Input - Activity and Demand'!J$48*'Input - Throughput'!$N$5)/'Input - Capacity'!$I$22</f>
        <v>516.00462241614434</v>
      </c>
      <c r="L45" s="34">
        <f>('Input - Activity and Demand'!K$48*'Input - Throughput'!$N$5)/'Input - Capacity'!$I$22</f>
        <v>552.12494598527451</v>
      </c>
      <c r="M45" s="34">
        <f>('Input - Activity and Demand'!L$48*'Input - Throughput'!$N$5)/'Input - Capacity'!$I$22</f>
        <v>590.77369220424373</v>
      </c>
      <c r="N45" s="34">
        <f>('Input - Activity and Demand'!M$48*'Input - Throughput'!$N$5)/'Input - Capacity'!$I$22</f>
        <v>632.12785065854075</v>
      </c>
      <c r="O45" s="34">
        <f>('Input - Activity and Demand'!N$48*'Input - Throughput'!$N$5)/'Input - Capacity'!$I$22</f>
        <v>676.37680020463847</v>
      </c>
      <c r="P45" s="34">
        <f>('Input - Activity and Demand'!O$48*'Input - Throughput'!$N$5)/'Input - Capacity'!$I$22</f>
        <v>723.7231762189632</v>
      </c>
      <c r="Q45" s="34">
        <f>('Input - Activity and Demand'!P$48*'Input - Throughput'!$N$5)/'Input - Capacity'!$I$22</f>
        <v>774.38379855429059</v>
      </c>
    </row>
    <row r="46" spans="1:18" s="3" customFormat="1" ht="14.55" customHeight="1" thickBot="1" x14ac:dyDescent="0.4">
      <c r="A46" s="337"/>
      <c r="B46" s="337"/>
      <c r="C46" s="334"/>
      <c r="D46" s="334"/>
      <c r="E46" s="79">
        <f>('Input - Activity and Demand'!D$49*'Input - Throughput'!$N$5)/'Input - Capacity'!$I$22</f>
        <v>343.83566760037348</v>
      </c>
      <c r="F46" s="79">
        <f>('Input - Activity and Demand'!E$49*'Input - Throughput'!$N$5)/'Input - Capacity'!$I$22</f>
        <v>374.78087768440707</v>
      </c>
      <c r="G46" s="79">
        <f>('Input - Activity and Demand'!F$49*'Input - Throughput'!$N$5)/'Input - Capacity'!$I$22</f>
        <v>408.51115667600374</v>
      </c>
      <c r="H46" s="79">
        <f>('Input - Activity and Demand'!G$49*'Input - Throughput'!$N$5)/'Input - Capacity'!$I$22</f>
        <v>445.27716077684403</v>
      </c>
      <c r="I46" s="79">
        <f>('Input - Activity and Demand'!H$49*'Input - Throughput'!$N$5)/'Input - Capacity'!$I$22</f>
        <v>485.35210524676</v>
      </c>
      <c r="J46" s="79">
        <f>('Input - Activity and Demand'!I$49*'Input - Throughput'!$N$5)/'Input - Capacity'!$I$22</f>
        <v>529.03379471896835</v>
      </c>
      <c r="K46" s="79">
        <f>('Input - Activity and Demand'!J$49*'Input - Throughput'!$N$5)/'Input - Capacity'!$I$22</f>
        <v>576.64683624367547</v>
      </c>
      <c r="L46" s="79">
        <f>('Input - Activity and Demand'!K$49*'Input - Throughput'!$N$5)/'Input - Capacity'!$I$22</f>
        <v>628.54505150560635</v>
      </c>
      <c r="M46" s="79">
        <f>('Input - Activity and Demand'!L$49*'Input - Throughput'!$N$5)/'Input - Capacity'!$I$22</f>
        <v>685.11410614111082</v>
      </c>
      <c r="N46" s="79">
        <f>('Input - Activity and Demand'!M$49*'Input - Throughput'!$N$5)/'Input - Capacity'!$I$22</f>
        <v>746.77437569381073</v>
      </c>
      <c r="O46" s="79">
        <f>('Input - Activity and Demand'!N$49*'Input - Throughput'!$N$5)/'Input - Capacity'!$I$22</f>
        <v>813.98406950625383</v>
      </c>
      <c r="P46" s="79">
        <f>('Input - Activity and Demand'!O$49*'Input - Throughput'!$N$5)/'Input - Capacity'!$I$22</f>
        <v>887.24263576181659</v>
      </c>
      <c r="Q46" s="79">
        <f>('Input - Activity and Demand'!P$49*'Input - Throughput'!$N$5)/'Input - Capacity'!$I$22</f>
        <v>967.09447298038003</v>
      </c>
    </row>
    <row r="47" spans="1:18" s="3" customFormat="1" ht="14.55" customHeight="1" thickTop="1" x14ac:dyDescent="0.35">
      <c r="A47" s="80" t="s">
        <v>39</v>
      </c>
      <c r="B47" s="81" t="s">
        <v>31</v>
      </c>
      <c r="C47" s="147">
        <f>SUM(C36:C37)</f>
        <v>424.42540143629469</v>
      </c>
      <c r="D47" s="147">
        <f t="shared" ref="D47:Q47" si="10">SUM(D36:D37)</f>
        <v>426.36488340192045</v>
      </c>
      <c r="E47" s="147">
        <f t="shared" si="10"/>
        <v>427.81432529115898</v>
      </c>
      <c r="F47" s="147">
        <f t="shared" si="10"/>
        <v>432.09246854407058</v>
      </c>
      <c r="G47" s="147">
        <f t="shared" si="10"/>
        <v>436.41339322951131</v>
      </c>
      <c r="H47" s="147">
        <f t="shared" si="10"/>
        <v>440.7775271618064</v>
      </c>
      <c r="I47" s="147">
        <f t="shared" si="10"/>
        <v>445.18530243342445</v>
      </c>
      <c r="J47" s="147">
        <f t="shared" si="10"/>
        <v>449.63715545775875</v>
      </c>
      <c r="K47" s="147">
        <f t="shared" si="10"/>
        <v>454.13352701233623</v>
      </c>
      <c r="L47" s="147">
        <f t="shared" si="10"/>
        <v>458.67486228245969</v>
      </c>
      <c r="M47" s="147">
        <f t="shared" si="10"/>
        <v>463.26161090528421</v>
      </c>
      <c r="N47" s="147">
        <f t="shared" si="10"/>
        <v>467.89422701433699</v>
      </c>
      <c r="O47" s="147">
        <f t="shared" si="10"/>
        <v>472.57316928448046</v>
      </c>
      <c r="P47" s="147">
        <f t="shared" si="10"/>
        <v>477.29890097732516</v>
      </c>
      <c r="Q47" s="147">
        <f t="shared" si="10"/>
        <v>482.07188998709842</v>
      </c>
      <c r="R47" s="82" t="s">
        <v>108</v>
      </c>
    </row>
    <row r="48" spans="1:18" s="28" customFormat="1" ht="14.55" customHeight="1" x14ac:dyDescent="0.35">
      <c r="A48" s="25" t="s">
        <v>95</v>
      </c>
      <c r="B48" s="338" t="s">
        <v>32</v>
      </c>
      <c r="C48" s="335">
        <f>SUM(C38:C46)</f>
        <v>1005.9609464156033</v>
      </c>
      <c r="D48" s="335">
        <f t="shared" ref="D48" si="11">SUM(D38:D46)</f>
        <v>1035.2005718954247</v>
      </c>
      <c r="E48" s="148">
        <f>SUM(E38:E40,E42:E45)</f>
        <v>1075.1816492028909</v>
      </c>
      <c r="F48" s="148">
        <f t="shared" ref="F48:Q48" si="12">SUM(F38:F40,F42:F45)</f>
        <v>1145.1832641698654</v>
      </c>
      <c r="G48" s="148">
        <f t="shared" si="12"/>
        <v>1219.9323708700763</v>
      </c>
      <c r="H48" s="148">
        <f t="shared" si="12"/>
        <v>1299.753766893125</v>
      </c>
      <c r="I48" s="148">
        <f t="shared" si="12"/>
        <v>1384.9945503544527</v>
      </c>
      <c r="J48" s="148">
        <f t="shared" si="12"/>
        <v>1476.0256549768685</v>
      </c>
      <c r="K48" s="148">
        <f t="shared" si="12"/>
        <v>1573.2434910720963</v>
      </c>
      <c r="L48" s="148">
        <f t="shared" si="12"/>
        <v>1677.0716997420222</v>
      </c>
      <c r="M48" s="148">
        <f t="shared" si="12"/>
        <v>1787.9630281260888</v>
      </c>
      <c r="N48" s="148">
        <f t="shared" si="12"/>
        <v>1906.4013340632159</v>
      </c>
      <c r="O48" s="148">
        <f t="shared" si="12"/>
        <v>2032.9037291161089</v>
      </c>
      <c r="P48" s="148">
        <f t="shared" si="12"/>
        <v>2168.0228695255032</v>
      </c>
      <c r="Q48" s="148">
        <f t="shared" si="12"/>
        <v>2312.3494053245472</v>
      </c>
      <c r="R48" s="83" t="s">
        <v>109</v>
      </c>
    </row>
    <row r="49" spans="1:18" x14ac:dyDescent="0.45">
      <c r="A49" s="25" t="s">
        <v>96</v>
      </c>
      <c r="B49" s="339"/>
      <c r="C49" s="336"/>
      <c r="D49" s="336"/>
      <c r="E49" s="148">
        <f>SUM(E38,E39,E41:E44,E46)</f>
        <v>1075.1816492028909</v>
      </c>
      <c r="F49" s="148">
        <f t="shared" ref="F49:Q49" si="13">SUM(F38,F39,F41:F44,F46)</f>
        <v>1171.1390624891933</v>
      </c>
      <c r="G49" s="148">
        <f t="shared" si="13"/>
        <v>1276.3784769391707</v>
      </c>
      <c r="H49" s="148">
        <f t="shared" si="13"/>
        <v>1391.8286641088114</v>
      </c>
      <c r="I49" s="148">
        <f t="shared" si="13"/>
        <v>1518.5133816437151</v>
      </c>
      <c r="J49" s="148">
        <f t="shared" si="13"/>
        <v>1657.5612409000792</v>
      </c>
      <c r="K49" s="148">
        <f t="shared" si="13"/>
        <v>1810.2166116203402</v>
      </c>
      <c r="L49" s="148">
        <f t="shared" si="13"/>
        <v>1977.8516736183083</v>
      </c>
      <c r="M49" s="148">
        <f t="shared" si="13"/>
        <v>2161.9797371667464</v>
      </c>
      <c r="N49" s="148">
        <f t="shared" si="13"/>
        <v>2364.2699667783818</v>
      </c>
      <c r="O49" s="148">
        <f t="shared" si="13"/>
        <v>2586.5636574651257</v>
      </c>
      <c r="P49" s="148">
        <f t="shared" si="13"/>
        <v>2830.8922285002786</v>
      </c>
      <c r="Q49" s="148">
        <f t="shared" si="13"/>
        <v>3099.4971173616291</v>
      </c>
      <c r="R49" s="82" t="s">
        <v>110</v>
      </c>
    </row>
    <row r="50" spans="1:18" x14ac:dyDescent="0.45">
      <c r="A50" s="27"/>
      <c r="B50" s="27"/>
      <c r="C50" s="27"/>
      <c r="D50" s="27"/>
      <c r="E50" s="27"/>
      <c r="F50" s="27"/>
      <c r="G50" s="27"/>
      <c r="H50" s="27"/>
      <c r="I50" s="27"/>
      <c r="J50" s="27"/>
      <c r="K50" s="27"/>
      <c r="L50" s="27"/>
      <c r="M50" s="27"/>
      <c r="N50" s="27"/>
      <c r="O50" s="27"/>
    </row>
    <row r="51" spans="1:18" x14ac:dyDescent="0.45">
      <c r="A51" s="64" t="s">
        <v>40</v>
      </c>
      <c r="B51" s="23"/>
      <c r="C51" s="324" t="s">
        <v>112</v>
      </c>
      <c r="D51" s="324"/>
      <c r="E51" s="333" t="s">
        <v>111</v>
      </c>
      <c r="F51" s="333"/>
      <c r="G51" s="333"/>
      <c r="H51" s="333"/>
      <c r="I51" s="333"/>
      <c r="J51" s="333"/>
      <c r="K51" s="333"/>
      <c r="L51" s="333"/>
      <c r="M51" s="333"/>
      <c r="N51" s="333"/>
      <c r="O51" s="333"/>
      <c r="P51" s="333"/>
      <c r="Q51" s="333"/>
    </row>
    <row r="52" spans="1:18" x14ac:dyDescent="0.45">
      <c r="A52" s="25" t="s">
        <v>127</v>
      </c>
      <c r="B52" s="25" t="s">
        <v>50</v>
      </c>
      <c r="C52" s="8" t="s">
        <v>35</v>
      </c>
      <c r="D52" s="8" t="s">
        <v>36</v>
      </c>
      <c r="E52" s="8" t="s">
        <v>7</v>
      </c>
      <c r="F52" s="8" t="s">
        <v>37</v>
      </c>
      <c r="G52" s="8" t="s">
        <v>38</v>
      </c>
      <c r="H52" s="33" t="s">
        <v>41</v>
      </c>
      <c r="I52" s="8" t="s">
        <v>42</v>
      </c>
      <c r="J52" s="8" t="s">
        <v>43</v>
      </c>
      <c r="K52" s="8" t="s">
        <v>44</v>
      </c>
      <c r="L52" s="8" t="s">
        <v>45</v>
      </c>
      <c r="M52" s="8" t="s">
        <v>59</v>
      </c>
      <c r="N52" s="8" t="s">
        <v>60</v>
      </c>
      <c r="O52" s="8" t="s">
        <v>70</v>
      </c>
      <c r="P52" s="8" t="s">
        <v>71</v>
      </c>
      <c r="Q52" s="8" t="s">
        <v>72</v>
      </c>
    </row>
    <row r="53" spans="1:18" s="3" customFormat="1" ht="14.55" customHeight="1" x14ac:dyDescent="0.35">
      <c r="A53" s="8" t="s">
        <v>435</v>
      </c>
      <c r="B53" s="283" t="s">
        <v>437</v>
      </c>
      <c r="C53" s="257">
        <f>C22</f>
        <v>310.57127496590817</v>
      </c>
      <c r="D53" s="257">
        <f>D22</f>
        <v>316.28205592063352</v>
      </c>
      <c r="E53" s="29">
        <f>'Input - Throughput'!$AA$12*(E47+E48+E61+'Radiologists &amp; Reporting Radiog'!E60+Sonographers!E11)</f>
        <v>323.84276352465292</v>
      </c>
      <c r="F53" s="29">
        <f>'Input - Throughput'!$AA$12*(F47+F48+F61+'Radiologists &amp; Reporting Radiog'!F60+Sonographers!F11)</f>
        <v>339.28700709306628</v>
      </c>
      <c r="G53" s="29">
        <f>'Input - Throughput'!$AA$12*(G47+G48+G61+'Radiologists &amp; Reporting Radiog'!G60+Sonographers!G11)</f>
        <v>355.67922775780175</v>
      </c>
      <c r="H53" s="29">
        <f>'Input - Throughput'!$AA$12*(H47+H48+H61+'Radiologists &amp; Reporting Radiog'!H60+Sonographers!H11)</f>
        <v>373.08165378035312</v>
      </c>
      <c r="I53" s="29">
        <f>'Input - Throughput'!$AA$12*(I47+I48+I61+'Radiologists &amp; Reporting Radiog'!I60+Sonographers!I11)</f>
        <v>391.56069429948525</v>
      </c>
      <c r="J53" s="29">
        <f>'Input - Throughput'!$AA$12*(J47+J48+J61+'Radiologists &amp; Reporting Radiog'!J60+Sonographers!J11)</f>
        <v>411.18722357911162</v>
      </c>
      <c r="K53" s="29">
        <f>'Input - Throughput'!$AA$12*(K47+K48+K61+'Radiologists &amp; Reporting Radiog'!K60+Sonographers!K11)</f>
        <v>432.03688472425307</v>
      </c>
      <c r="L53" s="29">
        <f>'Input - Throughput'!$AA$12*(L47+L48+L61+'Radiologists &amp; Reporting Radiog'!L60+Sonographers!L11)</f>
        <v>454.19041420503078</v>
      </c>
      <c r="M53" s="29">
        <f>'Input - Throughput'!$AA$12*(M47+M48+M61+'Radiologists &amp; Reporting Radiog'!M60+Sonographers!M11)</f>
        <v>477.73398862118495</v>
      </c>
      <c r="N53" s="29">
        <f>'Input - Throughput'!$AA$12*(N47+N48+N61+'Radiologists &amp; Reporting Radiog'!N60+Sonographers!N11)</f>
        <v>502.75959523856807</v>
      </c>
      <c r="O53" s="29">
        <f>'Input - Throughput'!$AA$12*(O47+O48+O61+'Radiologists &amp; Reporting Radiog'!O60+Sonographers!O11)</f>
        <v>529.36542793486103</v>
      </c>
      <c r="P53" s="29">
        <f>'Input - Throughput'!$AA$12*(P47+P48+P61+'Radiologists &amp; Reporting Radiog'!P60+Sonographers!P11)</f>
        <v>557.65631030489487</v>
      </c>
      <c r="Q53" s="29">
        <f>'Input - Throughput'!$AA$12*(Q47+Q48+Q61+'Radiologists &amp; Reporting Radiog'!Q60+Sonographers!Q11)</f>
        <v>584.49242094462659</v>
      </c>
      <c r="R53" s="83" t="s">
        <v>182</v>
      </c>
    </row>
    <row r="54" spans="1:18" s="3" customFormat="1" ht="14.55" customHeight="1" x14ac:dyDescent="0.35">
      <c r="A54" s="8" t="s">
        <v>436</v>
      </c>
      <c r="B54" s="284"/>
      <c r="C54" s="258"/>
      <c r="D54" s="258"/>
      <c r="E54" s="29">
        <f>'Input - Throughput'!$AA$12*(E47+E49+E62+'Radiologists &amp; Reporting Radiog'!E60+Sonographers!E12)</f>
        <v>323.84276352465292</v>
      </c>
      <c r="F54" s="29">
        <f>'Input - Throughput'!$AA$12*(F47+F49+F62+'Radiologists &amp; Reporting Radiog'!F60+Sonographers!F12)</f>
        <v>344.95919746100162</v>
      </c>
      <c r="G54" s="29">
        <f>'Input - Throughput'!$AA$12*(G47+G49+G62+'Radiologists &amp; Reporting Radiog'!G60+Sonographers!G12)</f>
        <v>367.94371271739436</v>
      </c>
      <c r="H54" s="29">
        <f>'Input - Throughput'!$AA$12*(H47+H49+H62+'Radiologists &amp; Reporting Radiog'!H60+Sonographers!H12)</f>
        <v>392.97566740376777</v>
      </c>
      <c r="I54" s="29">
        <f>'Input - Throughput'!$AA$12*(I47+I49+I62+'Radiologists &amp; Reporting Radiog'!I60+Sonographers!I12)</f>
        <v>420.25232236217516</v>
      </c>
      <c r="J54" s="29">
        <f>'Input - Throughput'!$AA$12*(J47+J49+J62+'Radiologists &amp; Reporting Radiog'!J60+Sonographers!J12)</f>
        <v>449.99067394926067</v>
      </c>
      <c r="K54" s="29">
        <f>'Input - Throughput'!$AA$12*(K47+K49+K62+'Radiologists &amp; Reporting Radiog'!K60+Sonographers!K12)</f>
        <v>482.4294777748035</v>
      </c>
      <c r="L54" s="29">
        <f>'Input - Throughput'!$AA$12*(L47+L49+L62+'Radiologists &amp; Reporting Radiog'!L60+Sonographers!L12)</f>
        <v>517.83148354083778</v>
      </c>
      <c r="M54" s="29">
        <f>'Input - Throughput'!$AA$12*(M47+M49+M62+'Radiologists &amp; Reporting Radiog'!M60+Sonographers!M12)</f>
        <v>556.48590327014972</v>
      </c>
      <c r="N54" s="29">
        <f>'Input - Throughput'!$AA$12*(N47+N49+N62+'Radiologists &amp; Reporting Radiog'!N60+Sonographers!N12)</f>
        <v>598.71113758704303</v>
      </c>
      <c r="O54" s="29">
        <f>'Input - Throughput'!$AA$12*(O47+O49+O62+'Radiologists &amp; Reporting Radiog'!O60+Sonographers!O12)</f>
        <v>644.85778734187284</v>
      </c>
      <c r="P54" s="29">
        <f>'Input - Throughput'!$AA$12*(P47+P49+P62+'Radiologists &amp; Reporting Radiog'!P60+Sonographers!P12)</f>
        <v>695.31198078142211</v>
      </c>
      <c r="Q54" s="29">
        <f>'Input - Throughput'!$AA$12*(Q47+Q49+Q62+'Radiologists &amp; Reporting Radiog'!Q60+Sonographers!Q12)</f>
        <v>747.24732283780975</v>
      </c>
      <c r="R54" s="82" t="s">
        <v>183</v>
      </c>
    </row>
    <row r="55" spans="1:18" x14ac:dyDescent="0.45">
      <c r="A55" s="27"/>
      <c r="B55" s="27"/>
      <c r="C55" s="27"/>
      <c r="D55" s="27"/>
      <c r="E55" s="27"/>
      <c r="F55" s="27"/>
      <c r="G55" s="27"/>
      <c r="H55" s="27"/>
      <c r="I55" s="27"/>
      <c r="J55" s="27"/>
      <c r="K55" s="27"/>
      <c r="L55" s="27"/>
      <c r="M55" s="27"/>
      <c r="N55" s="27"/>
      <c r="O55" s="27"/>
    </row>
    <row r="56" spans="1:18" x14ac:dyDescent="0.45">
      <c r="A56" s="64" t="s">
        <v>40</v>
      </c>
      <c r="B56" s="23"/>
      <c r="C56" s="324" t="s">
        <v>443</v>
      </c>
      <c r="D56" s="324"/>
      <c r="E56" s="333" t="s">
        <v>444</v>
      </c>
      <c r="F56" s="333"/>
      <c r="G56" s="333"/>
      <c r="H56" s="333"/>
      <c r="I56" s="333"/>
      <c r="J56" s="333"/>
      <c r="K56" s="333"/>
      <c r="L56" s="333"/>
      <c r="M56" s="333"/>
      <c r="N56" s="333"/>
      <c r="O56" s="333"/>
      <c r="P56" s="333"/>
      <c r="Q56" s="333"/>
    </row>
    <row r="57" spans="1:18" x14ac:dyDescent="0.45">
      <c r="A57" s="25" t="s">
        <v>127</v>
      </c>
      <c r="B57" s="25" t="s">
        <v>50</v>
      </c>
      <c r="C57" s="8" t="s">
        <v>35</v>
      </c>
      <c r="D57" s="8" t="s">
        <v>36</v>
      </c>
      <c r="E57" s="8" t="s">
        <v>7</v>
      </c>
      <c r="F57" s="8" t="s">
        <v>37</v>
      </c>
      <c r="G57" s="8" t="s">
        <v>38</v>
      </c>
      <c r="H57" s="33" t="s">
        <v>41</v>
      </c>
      <c r="I57" s="8" t="s">
        <v>42</v>
      </c>
      <c r="J57" s="8" t="s">
        <v>43</v>
      </c>
      <c r="K57" s="8" t="s">
        <v>44</v>
      </c>
      <c r="L57" s="8" t="s">
        <v>45</v>
      </c>
      <c r="M57" s="8" t="s">
        <v>59</v>
      </c>
      <c r="N57" s="8" t="s">
        <v>60</v>
      </c>
      <c r="O57" s="8" t="s">
        <v>70</v>
      </c>
      <c r="P57" s="8" t="s">
        <v>71</v>
      </c>
      <c r="Q57" s="8" t="s">
        <v>72</v>
      </c>
    </row>
    <row r="58" spans="1:18" s="3" customFormat="1" ht="14.55" customHeight="1" x14ac:dyDescent="0.35">
      <c r="A58" s="8" t="s">
        <v>130</v>
      </c>
      <c r="B58" s="283" t="s">
        <v>128</v>
      </c>
      <c r="C58" s="257">
        <f>C27</f>
        <v>482.46450581049407</v>
      </c>
      <c r="D58" s="257">
        <f>D27</f>
        <v>491.3819310841983</v>
      </c>
      <c r="E58" s="29">
        <f>('Input - Throughput'!$W$12*(Sonographers!E11+'Radiologists &amp; Reporting Radiog'!D38))+('Input - Throughput'!$W$17*'Diagnostic Radiography'!E48)</f>
        <v>503.29176984737245</v>
      </c>
      <c r="F58" s="29">
        <f>('Input - Throughput'!$W$12*(Sonographers!F11+'Radiologists &amp; Reporting Radiog'!E38))+('Input - Throughput'!$W$17*'Diagnostic Radiography'!F48)</f>
        <v>531.52174534092501</v>
      </c>
      <c r="G58" s="29">
        <f>('Input - Throughput'!$W$12*(Sonographers!G11+'Radiologists &amp; Reporting Radiog'!F38))+('Input - Throughput'!$W$17*'Diagnostic Radiography'!G48)</f>
        <v>561.46514799458691</v>
      </c>
      <c r="H58" s="29">
        <f>('Input - Throughput'!$W$12*(Sonographers!H11+'Radiologists &amp; Reporting Radiog'!G38))+('Input - Throughput'!$W$17*'Diagnostic Radiography'!H48)</f>
        <v>593.23098427084415</v>
      </c>
      <c r="I58" s="29">
        <f>('Input - Throughput'!$W$12*(Sonographers!I11+'Radiologists &amp; Reporting Radiog'!H38))+('Input - Throughput'!$W$17*'Diagnostic Radiography'!I48)</f>
        <v>626.93541347735868</v>
      </c>
      <c r="J58" s="29">
        <f>('Input - Throughput'!$W$12*(Sonographers!J11+'Radiologists &amp; Reporting Radiog'!I38))+('Input - Throughput'!$W$17*'Diagnostic Radiography'!J48)</f>
        <v>662.70222679892436</v>
      </c>
      <c r="K58" s="29">
        <f>('Input - Throughput'!$W$12*(Sonographers!K11+'Radiologists &amp; Reporting Radiog'!J38))+('Input - Throughput'!$W$17*'Diagnostic Radiography'!K48)</f>
        <v>700.66335883972715</v>
      </c>
      <c r="L58" s="29">
        <f>('Input - Throughput'!$W$12*(Sonographers!L11+'Radiologists &amp; Reporting Radiog'!K38))+('Input - Throughput'!$W$17*'Diagnostic Radiography'!L48)</f>
        <v>740.95943390142895</v>
      </c>
      <c r="M58" s="29">
        <f>('Input - Throughput'!$W$12*(Sonographers!M11+'Radiologists &amp; Reporting Radiog'!L38))+('Input - Throughput'!$W$17*'Diagnostic Radiography'!M48)</f>
        <v>783.74034937580188</v>
      </c>
      <c r="N58" s="29">
        <f>('Input - Throughput'!$W$12*(Sonographers!N11+'Radiologists &amp; Reporting Radiog'!M38))+('Input - Throughput'!$W$17*'Diagnostic Radiography'!N48)</f>
        <v>829.16589879445905</v>
      </c>
      <c r="O58" s="29">
        <f>('Input - Throughput'!$W$12*(Sonographers!O11+'Radiologists &amp; Reporting Radiog'!N38))+('Input - Throughput'!$W$17*'Diagnostic Radiography'!O48)</f>
        <v>877.40643725334655</v>
      </c>
      <c r="P58" s="29">
        <f>('Input - Throughput'!$W$12*(Sonographers!P11+'Radiologists &amp; Reporting Radiog'!O38))+('Input - Throughput'!$W$17*'Diagnostic Radiography'!P48)</f>
        <v>928.64359211690544</v>
      </c>
      <c r="Q58" s="29">
        <f>('Input - Throughput'!$W$12*(Sonographers!Q11+'Radiologists &amp; Reporting Radiog'!P38))+('Input - Throughput'!$W$17*'Diagnostic Radiography'!Q48)</f>
        <v>983.07102210698883</v>
      </c>
      <c r="R58" s="83" t="s">
        <v>134</v>
      </c>
    </row>
    <row r="59" spans="1:18" s="3" customFormat="1" ht="14.55" customHeight="1" x14ac:dyDescent="0.35">
      <c r="A59" s="8" t="s">
        <v>131</v>
      </c>
      <c r="B59" s="284"/>
      <c r="C59" s="258"/>
      <c r="D59" s="258"/>
      <c r="E59" s="29">
        <f>('Input - Throughput'!$W$12*(Sonographers!E12+'Radiologists &amp; Reporting Radiog'!D39))+('Input - Throughput'!$W$17*'Diagnostic Radiography'!E49)</f>
        <v>503.29176984737245</v>
      </c>
      <c r="F59" s="29">
        <f>('Input - Throughput'!$W$12*(Sonographers!F12+'Radiologists &amp; Reporting Radiog'!E39))+('Input - Throughput'!$W$17*'Diagnostic Radiography'!F49)</f>
        <v>542.92323033845344</v>
      </c>
      <c r="G59" s="29">
        <f>('Input - Throughput'!$W$12*(Sonographers!G12+'Radiologists &amp; Reporting Radiog'!F39))+('Input - Throughput'!$W$17*'Diagnostic Radiography'!G49)</f>
        <v>585.98994536894838</v>
      </c>
      <c r="H59" s="29">
        <f>('Input - Throughput'!$W$12*(Sonographers!H12+'Radiologists &amp; Reporting Radiog'!G39))+('Input - Throughput'!$W$17*'Diagnostic Radiography'!H49)</f>
        <v>632.80958565707249</v>
      </c>
      <c r="I59" s="29">
        <f>('Input - Throughput'!$W$12*(Sonographers!I12+'Radiologists &amp; Reporting Radiog'!H39))+('Input - Throughput'!$W$17*'Diagnostic Radiography'!I49)</f>
        <v>683.73066010300931</v>
      </c>
      <c r="J59" s="29">
        <f>('Input - Throughput'!$W$12*(Sonographers!J12+'Radiologists &amp; Reporting Radiog'!I39))+('Input - Throughput'!$W$17*'Diagnostic Radiography'!J49)</f>
        <v>739.13561661651227</v>
      </c>
      <c r="K59" s="29">
        <f>('Input - Throughput'!$W$12*(Sonographers!K12+'Radiologists &amp; Reporting Radiog'!J39))+('Input - Throughput'!$W$17*'Diagnostic Radiography'!K49)</f>
        <v>799.44426249337994</v>
      </c>
      <c r="L59" s="29">
        <f>('Input - Throughput'!$W$12*(Sonographers!L12+'Radiologists &amp; Reporting Radiog'!K39))+('Input - Throughput'!$W$17*'Diagnostic Radiography'!L49)</f>
        <v>865.11753783320705</v>
      </c>
      <c r="M59" s="29">
        <f>('Input - Throughput'!$W$12*(Sonographers!M12+'Radiologists &amp; Reporting Radiog'!L39))+('Input - Throughput'!$W$17*'Diagnostic Radiography'!M49)</f>
        <v>936.66167904260124</v>
      </c>
      <c r="N59" s="29">
        <f>('Input - Throughput'!$W$12*(Sonographers!N12+'Radiologists &amp; Reporting Radiog'!M39))+('Input - Throughput'!$W$17*'Diagnostic Radiography'!N49)</f>
        <v>1014.6328133996465</v>
      </c>
      <c r="O59" s="29">
        <f>('Input - Throughput'!$W$12*(Sonographers!O12+'Radiologists &amp; Reporting Radiog'!N39))+('Input - Throughput'!$W$17*'Diagnostic Radiography'!O49)</f>
        <v>1099.6420300076377</v>
      </c>
      <c r="P59" s="29">
        <f>('Input - Throughput'!$W$12*(Sonographers!P12+'Radiologists &amp; Reporting Radiog'!O39))+('Input - Throughput'!$W$17*'Diagnostic Radiography'!P49)</f>
        <v>1192.3609772842694</v>
      </c>
      <c r="Q59" s="29">
        <f>('Input - Throughput'!$W$12*(Sonographers!Q12+'Radiologists &amp; Reporting Radiog'!P39))+('Input - Throughput'!$W$17*'Diagnostic Radiography'!Q49)</f>
        <v>1293.5280424667258</v>
      </c>
      <c r="R59" s="82" t="s">
        <v>135</v>
      </c>
    </row>
    <row r="60" spans="1:18" s="3" customFormat="1" ht="14.55" customHeight="1" x14ac:dyDescent="0.35">
      <c r="A60" s="8" t="s">
        <v>129</v>
      </c>
      <c r="B60" s="8" t="s">
        <v>46</v>
      </c>
      <c r="C60" s="29">
        <f>C29</f>
        <v>127.3276204308884</v>
      </c>
      <c r="D60" s="29">
        <f>D29</f>
        <v>127.90946502057614</v>
      </c>
      <c r="E60" s="29">
        <f>'Input - Throughput'!$Y$12*E47</f>
        <v>128.34429758734768</v>
      </c>
      <c r="F60" s="29">
        <f>'Input - Throughput'!$Y$12*F47</f>
        <v>129.62774056322118</v>
      </c>
      <c r="G60" s="29">
        <f>'Input - Throughput'!$Y$12*G47</f>
        <v>130.92401796885338</v>
      </c>
      <c r="H60" s="29">
        <f>'Input - Throughput'!$Y$12*H47</f>
        <v>132.23325814854192</v>
      </c>
      <c r="I60" s="29">
        <f>'Input - Throughput'!$Y$12*I47</f>
        <v>133.55559073002732</v>
      </c>
      <c r="J60" s="29">
        <f>'Input - Throughput'!$Y$12*J47</f>
        <v>134.89114663732761</v>
      </c>
      <c r="K60" s="29">
        <f>'Input - Throughput'!$Y$12*K47</f>
        <v>136.24005810370087</v>
      </c>
      <c r="L60" s="29">
        <f>'Input - Throughput'!$Y$12*L47</f>
        <v>137.60245868473791</v>
      </c>
      <c r="M60" s="29">
        <f>'Input - Throughput'!$Y$12*M47</f>
        <v>138.97848327158525</v>
      </c>
      <c r="N60" s="29">
        <f>'Input - Throughput'!$Y$12*N47</f>
        <v>140.36826810430108</v>
      </c>
      <c r="O60" s="29">
        <f>'Input - Throughput'!$Y$12*O47</f>
        <v>141.77195078534413</v>
      </c>
      <c r="P60" s="29">
        <f>'Input - Throughput'!$Y$12*P47</f>
        <v>143.18967029319754</v>
      </c>
      <c r="Q60" s="29">
        <f>'Input - Throughput'!$Y$12*Q47</f>
        <v>144.62156699612953</v>
      </c>
      <c r="R60" s="82" t="s">
        <v>46</v>
      </c>
    </row>
    <row r="61" spans="1:18" s="3" customFormat="1" ht="14.55" customHeight="1" x14ac:dyDescent="0.35">
      <c r="A61" s="137" t="s">
        <v>178</v>
      </c>
      <c r="B61" s="340" t="s">
        <v>172</v>
      </c>
      <c r="C61" s="335">
        <f>SUM(C58:C60)</f>
        <v>609.79212624138245</v>
      </c>
      <c r="D61" s="335">
        <f t="shared" ref="D61" si="14">SUM(D58:D60)</f>
        <v>619.29139610477444</v>
      </c>
      <c r="E61" s="148">
        <f t="shared" ref="E61:G61" si="15">E58+E60</f>
        <v>631.63606743472019</v>
      </c>
      <c r="F61" s="148">
        <f t="shared" si="15"/>
        <v>661.14948590414622</v>
      </c>
      <c r="G61" s="148">
        <f t="shared" si="15"/>
        <v>692.38916596344029</v>
      </c>
      <c r="H61" s="148">
        <f>H58+H60</f>
        <v>725.4642424193861</v>
      </c>
      <c r="I61" s="148">
        <f t="shared" ref="I61" si="16">I58+I60</f>
        <v>760.49100420738603</v>
      </c>
      <c r="J61" s="148">
        <f t="shared" ref="J61" si="17">J58+J60</f>
        <v>797.59337343625202</v>
      </c>
      <c r="K61" s="148">
        <f t="shared" ref="K61" si="18">K58+K60</f>
        <v>836.90341694342806</v>
      </c>
      <c r="L61" s="148">
        <f t="shared" ref="L61" si="19">L58+L60</f>
        <v>878.56189258616689</v>
      </c>
      <c r="M61" s="148">
        <f t="shared" ref="M61" si="20">M58+M60</f>
        <v>922.7188326473871</v>
      </c>
      <c r="N61" s="148">
        <f t="shared" ref="N61" si="21">N58+N60</f>
        <v>969.53416689876008</v>
      </c>
      <c r="O61" s="148">
        <f t="shared" ref="O61" si="22">O58+O60</f>
        <v>1019.1783880386906</v>
      </c>
      <c r="P61" s="148">
        <f t="shared" ref="P61" si="23">P58+P60</f>
        <v>1071.8332624101031</v>
      </c>
      <c r="Q61" s="148">
        <f t="shared" ref="Q61" si="24">Q58+Q60</f>
        <v>1127.6925891031183</v>
      </c>
      <c r="R61" s="82" t="s">
        <v>180</v>
      </c>
    </row>
    <row r="62" spans="1:18" s="3" customFormat="1" ht="14.55" customHeight="1" x14ac:dyDescent="0.35">
      <c r="A62" s="137" t="s">
        <v>179</v>
      </c>
      <c r="B62" s="341"/>
      <c r="C62" s="336"/>
      <c r="D62" s="336"/>
      <c r="E62" s="148">
        <f t="shared" ref="E62:G62" si="25">E59+E60</f>
        <v>631.63606743472019</v>
      </c>
      <c r="F62" s="148">
        <f t="shared" si="25"/>
        <v>672.55097090167465</v>
      </c>
      <c r="G62" s="148">
        <f t="shared" si="25"/>
        <v>716.91396333780176</v>
      </c>
      <c r="H62" s="148">
        <f>H59+H60</f>
        <v>765.04284380561444</v>
      </c>
      <c r="I62" s="148">
        <f t="shared" ref="I62:Q62" si="26">I59+I60</f>
        <v>817.28625083303666</v>
      </c>
      <c r="J62" s="148">
        <f t="shared" si="26"/>
        <v>874.02676325383982</v>
      </c>
      <c r="K62" s="148">
        <f t="shared" si="26"/>
        <v>935.68432059708084</v>
      </c>
      <c r="L62" s="148">
        <f t="shared" si="26"/>
        <v>1002.719996517945</v>
      </c>
      <c r="M62" s="148">
        <f t="shared" si="26"/>
        <v>1075.6401623141865</v>
      </c>
      <c r="N62" s="148">
        <f t="shared" si="26"/>
        <v>1155.0010815039475</v>
      </c>
      <c r="O62" s="148">
        <f t="shared" si="26"/>
        <v>1241.4139807929819</v>
      </c>
      <c r="P62" s="148">
        <f t="shared" si="26"/>
        <v>1335.5506475774669</v>
      </c>
      <c r="Q62" s="148">
        <f t="shared" si="26"/>
        <v>1438.1496094628553</v>
      </c>
      <c r="R62" s="82" t="s">
        <v>181</v>
      </c>
    </row>
    <row r="63" spans="1:18" x14ac:dyDescent="0.45">
      <c r="A63" s="106"/>
      <c r="B63" s="106"/>
      <c r="C63" s="106"/>
      <c r="D63" s="106"/>
      <c r="E63" s="106"/>
      <c r="F63" s="106"/>
      <c r="G63" s="106"/>
      <c r="H63" s="106"/>
      <c r="I63" s="27"/>
      <c r="J63" s="27"/>
      <c r="K63" s="27"/>
      <c r="L63" s="27"/>
      <c r="M63" s="27"/>
      <c r="N63" s="27"/>
      <c r="O63" s="27"/>
    </row>
    <row r="64" spans="1:18" ht="20" hidden="1" customHeight="1" x14ac:dyDescent="0.45">
      <c r="A64" s="146" t="s">
        <v>399</v>
      </c>
      <c r="B64" s="8" t="s">
        <v>73</v>
      </c>
      <c r="C64" s="8" t="s">
        <v>74</v>
      </c>
      <c r="D64" s="8" t="s">
        <v>75</v>
      </c>
      <c r="E64" s="8" t="s">
        <v>76</v>
      </c>
      <c r="F64" s="8" t="s">
        <v>77</v>
      </c>
      <c r="G64" s="8" t="s">
        <v>78</v>
      </c>
      <c r="H64" s="8" t="s">
        <v>79</v>
      </c>
      <c r="I64" s="8" t="s">
        <v>87</v>
      </c>
      <c r="J64" s="8" t="s">
        <v>86</v>
      </c>
      <c r="K64" s="8" t="s">
        <v>85</v>
      </c>
      <c r="L64" s="8" t="s">
        <v>84</v>
      </c>
      <c r="M64" s="8" t="s">
        <v>83</v>
      </c>
      <c r="N64" s="8" t="s">
        <v>82</v>
      </c>
      <c r="O64" s="8" t="s">
        <v>81</v>
      </c>
      <c r="P64" s="8" t="s">
        <v>80</v>
      </c>
    </row>
    <row r="65" spans="1:16" hidden="1" x14ac:dyDescent="0.45">
      <c r="A65" s="77" t="s">
        <v>206</v>
      </c>
      <c r="B65" s="29">
        <f>C$27</f>
        <v>482.46450581049407</v>
      </c>
      <c r="C65" s="29">
        <f t="shared" ref="C65:F65" si="27">D$27</f>
        <v>491.3819310841983</v>
      </c>
      <c r="D65" s="29">
        <f t="shared" si="27"/>
        <v>495.89093643928152</v>
      </c>
      <c r="E65" s="29">
        <f t="shared" si="27"/>
        <v>400.13654608804302</v>
      </c>
      <c r="F65" s="29">
        <f t="shared" si="27"/>
        <v>438.05495493262663</v>
      </c>
      <c r="G65" s="29"/>
      <c r="H65" s="29"/>
      <c r="I65" s="29"/>
      <c r="J65" s="29"/>
      <c r="K65" s="29"/>
      <c r="L65" s="29"/>
      <c r="M65" s="29"/>
      <c r="N65" s="29"/>
      <c r="O65" s="29"/>
      <c r="P65" s="29"/>
    </row>
    <row r="66" spans="1:16" hidden="1" x14ac:dyDescent="0.45">
      <c r="A66" s="77" t="s">
        <v>207</v>
      </c>
      <c r="B66" s="29">
        <f>C$29</f>
        <v>127.3276204308884</v>
      </c>
      <c r="C66" s="29">
        <f t="shared" ref="C66:F66" si="28">D$29</f>
        <v>127.90946502057614</v>
      </c>
      <c r="D66" s="29">
        <f t="shared" si="28"/>
        <v>125.04711692084241</v>
      </c>
      <c r="E66" s="29">
        <f t="shared" si="28"/>
        <v>90.987722101186165</v>
      </c>
      <c r="F66" s="29">
        <f t="shared" si="28"/>
        <v>109.85725490196079</v>
      </c>
      <c r="G66" s="29"/>
      <c r="H66" s="29"/>
      <c r="I66" s="29"/>
      <c r="J66" s="29"/>
      <c r="K66" s="29"/>
      <c r="L66" s="29"/>
      <c r="M66" s="29"/>
      <c r="N66" s="29"/>
      <c r="O66" s="29"/>
      <c r="P66" s="29"/>
    </row>
    <row r="67" spans="1:16" hidden="1" x14ac:dyDescent="0.45">
      <c r="A67" s="141" t="s">
        <v>225</v>
      </c>
      <c r="B67" s="29">
        <f>B65+B66</f>
        <v>609.79212624138245</v>
      </c>
      <c r="C67" s="29">
        <f>C65+C66</f>
        <v>619.29139610477444</v>
      </c>
      <c r="D67" s="29">
        <f>D65+D66</f>
        <v>620.93805336012394</v>
      </c>
      <c r="E67" s="29">
        <f>E65+E66</f>
        <v>491.12426818922916</v>
      </c>
      <c r="F67" s="29">
        <f>F65+F66</f>
        <v>547.91220983458743</v>
      </c>
      <c r="G67" s="29"/>
      <c r="H67" s="29"/>
      <c r="I67" s="29"/>
      <c r="J67" s="29"/>
      <c r="K67" s="29"/>
      <c r="L67" s="29"/>
      <c r="M67" s="29"/>
      <c r="N67" s="29"/>
      <c r="O67" s="29"/>
      <c r="P67" s="29"/>
    </row>
    <row r="68" spans="1:16" hidden="1" x14ac:dyDescent="0.45">
      <c r="A68" s="141" t="s">
        <v>209</v>
      </c>
      <c r="B68" s="29"/>
      <c r="C68" s="29"/>
      <c r="D68" s="29"/>
      <c r="E68" s="29"/>
      <c r="F68" s="29">
        <f>F65</f>
        <v>438.05495493262663</v>
      </c>
      <c r="G68" s="29">
        <f>H$27</f>
        <v>462.82521883954882</v>
      </c>
      <c r="H68" s="29">
        <f t="shared" ref="H68:P68" si="29">I$27</f>
        <v>489.1089652588638</v>
      </c>
      <c r="I68" s="29">
        <f t="shared" si="29"/>
        <v>517.00291419067025</v>
      </c>
      <c r="J68" s="29">
        <f t="shared" si="29"/>
        <v>546.61014945601676</v>
      </c>
      <c r="K68" s="29">
        <f t="shared" si="29"/>
        <v>578.04054551104593</v>
      </c>
      <c r="L68" s="29">
        <f t="shared" si="29"/>
        <v>611.41122324726257</v>
      </c>
      <c r="M68" s="29">
        <f t="shared" si="29"/>
        <v>646.84703676261995</v>
      </c>
      <c r="N68" s="29">
        <f t="shared" si="29"/>
        <v>684.48109322475784</v>
      </c>
      <c r="O68" s="29">
        <f t="shared" si="29"/>
        <v>724.45530809379284</v>
      </c>
      <c r="P68" s="29">
        <f t="shared" si="29"/>
        <v>766.92099812823903</v>
      </c>
    </row>
    <row r="69" spans="1:16" hidden="1" x14ac:dyDescent="0.45">
      <c r="A69" s="141" t="s">
        <v>210</v>
      </c>
      <c r="B69" s="29"/>
      <c r="C69" s="29"/>
      <c r="D69" s="29"/>
      <c r="E69" s="29"/>
      <c r="F69" s="29">
        <f>F65</f>
        <v>438.05495493262663</v>
      </c>
      <c r="G69" s="29">
        <f>H$28</f>
        <v>472.44820593228803</v>
      </c>
      <c r="H69" s="29">
        <f t="shared" ref="H69:P69" si="30">I$28</f>
        <v>509.80758213120691</v>
      </c>
      <c r="I69" s="29">
        <f t="shared" si="30"/>
        <v>550.40538062214341</v>
      </c>
      <c r="J69" s="29">
        <f t="shared" si="30"/>
        <v>594.54010831215135</v>
      </c>
      <c r="K69" s="29">
        <f t="shared" si="30"/>
        <v>642.53909445754107</v>
      </c>
      <c r="L69" s="29">
        <f t="shared" si="30"/>
        <v>694.76137020158501</v>
      </c>
      <c r="M69" s="29">
        <f t="shared" si="30"/>
        <v>751.6008428897328</v>
      </c>
      <c r="N69" s="29">
        <f t="shared" si="30"/>
        <v>813.48979586303187</v>
      </c>
      <c r="O69" s="29">
        <f t="shared" si="30"/>
        <v>880.90274766744051</v>
      </c>
      <c r="P69" s="29">
        <f t="shared" si="30"/>
        <v>954.36070819809584</v>
      </c>
    </row>
    <row r="70" spans="1:16" hidden="1" x14ac:dyDescent="0.45">
      <c r="A70" s="141" t="s">
        <v>211</v>
      </c>
      <c r="B70" s="29"/>
      <c r="C70" s="29"/>
      <c r="D70" s="29">
        <f>E$58</f>
        <v>503.29176984737245</v>
      </c>
      <c r="E70" s="29">
        <f t="shared" ref="E70:F70" si="31">F$58</f>
        <v>531.52174534092501</v>
      </c>
      <c r="F70" s="29">
        <f t="shared" si="31"/>
        <v>561.46514799458691</v>
      </c>
      <c r="G70" s="29">
        <f t="shared" ref="G70:P70" si="32">H$58</f>
        <v>593.23098427084415</v>
      </c>
      <c r="H70" s="29">
        <f t="shared" si="32"/>
        <v>626.93541347735868</v>
      </c>
      <c r="I70" s="29">
        <f t="shared" si="32"/>
        <v>662.70222679892436</v>
      </c>
      <c r="J70" s="29">
        <f t="shared" si="32"/>
        <v>700.66335883972715</v>
      </c>
      <c r="K70" s="29">
        <f t="shared" si="32"/>
        <v>740.95943390142895</v>
      </c>
      <c r="L70" s="29">
        <f t="shared" si="32"/>
        <v>783.74034937580188</v>
      </c>
      <c r="M70" s="29">
        <f t="shared" si="32"/>
        <v>829.16589879445905</v>
      </c>
      <c r="N70" s="29">
        <f t="shared" si="32"/>
        <v>877.40643725334655</v>
      </c>
      <c r="O70" s="29">
        <f t="shared" si="32"/>
        <v>928.64359211690544</v>
      </c>
      <c r="P70" s="29">
        <f t="shared" si="32"/>
        <v>983.07102210698883</v>
      </c>
    </row>
    <row r="71" spans="1:16" hidden="1" x14ac:dyDescent="0.45">
      <c r="A71" s="141" t="s">
        <v>212</v>
      </c>
      <c r="B71" s="29"/>
      <c r="C71" s="29"/>
      <c r="D71" s="29">
        <f>E$59</f>
        <v>503.29176984737245</v>
      </c>
      <c r="E71" s="29">
        <f t="shared" ref="E71:F71" si="33">F$59</f>
        <v>542.92323033845344</v>
      </c>
      <c r="F71" s="29">
        <f t="shared" si="33"/>
        <v>585.98994536894838</v>
      </c>
      <c r="G71" s="29">
        <f t="shared" ref="G71:P71" si="34">H$59</f>
        <v>632.80958565707249</v>
      </c>
      <c r="H71" s="29">
        <f t="shared" si="34"/>
        <v>683.73066010300931</v>
      </c>
      <c r="I71" s="29">
        <f t="shared" si="34"/>
        <v>739.13561661651227</v>
      </c>
      <c r="J71" s="29">
        <f t="shared" si="34"/>
        <v>799.44426249337994</v>
      </c>
      <c r="K71" s="29">
        <f t="shared" si="34"/>
        <v>865.11753783320705</v>
      </c>
      <c r="L71" s="29">
        <f t="shared" si="34"/>
        <v>936.66167904260124</v>
      </c>
      <c r="M71" s="29">
        <f t="shared" si="34"/>
        <v>1014.6328133996465</v>
      </c>
      <c r="N71" s="29">
        <f t="shared" si="34"/>
        <v>1099.6420300076377</v>
      </c>
      <c r="O71" s="29">
        <f t="shared" si="34"/>
        <v>1192.3609772842694</v>
      </c>
      <c r="P71" s="29">
        <f t="shared" si="34"/>
        <v>1293.5280424667258</v>
      </c>
    </row>
    <row r="72" spans="1:16" hidden="1" x14ac:dyDescent="0.45">
      <c r="A72" s="141" t="s">
        <v>213</v>
      </c>
      <c r="B72" s="29"/>
      <c r="C72" s="29"/>
      <c r="D72" s="29"/>
      <c r="E72" s="29"/>
      <c r="F72" s="29">
        <f>F66</f>
        <v>109.85725490196079</v>
      </c>
      <c r="G72" s="29">
        <f>H$29</f>
        <v>110.95582745098039</v>
      </c>
      <c r="H72" s="29">
        <f t="shared" ref="H72:P72" si="35">I$29</f>
        <v>112.06538572549017</v>
      </c>
      <c r="I72" s="29">
        <f t="shared" si="35"/>
        <v>113.18603958274507</v>
      </c>
      <c r="J72" s="29">
        <f t="shared" si="35"/>
        <v>114.31789997857254</v>
      </c>
      <c r="K72" s="29">
        <f t="shared" si="35"/>
        <v>115.46107897835826</v>
      </c>
      <c r="L72" s="29">
        <f t="shared" si="35"/>
        <v>116.61568976814185</v>
      </c>
      <c r="M72" s="29">
        <f t="shared" si="35"/>
        <v>117.78184666582325</v>
      </c>
      <c r="N72" s="29">
        <f t="shared" si="35"/>
        <v>118.95966513248149</v>
      </c>
      <c r="O72" s="29">
        <f t="shared" si="35"/>
        <v>120.14926178380631</v>
      </c>
      <c r="P72" s="29">
        <f t="shared" si="35"/>
        <v>121.35075440164437</v>
      </c>
    </row>
    <row r="73" spans="1:16" hidden="1" x14ac:dyDescent="0.45">
      <c r="A73" s="141" t="s">
        <v>214</v>
      </c>
      <c r="B73" s="29"/>
      <c r="C73" s="29"/>
      <c r="D73" s="29">
        <f>E$60</f>
        <v>128.34429758734768</v>
      </c>
      <c r="E73" s="29">
        <f t="shared" ref="E73:G73" si="36">F$60</f>
        <v>129.62774056322118</v>
      </c>
      <c r="F73" s="29">
        <f t="shared" si="36"/>
        <v>130.92401796885338</v>
      </c>
      <c r="G73" s="29">
        <f t="shared" si="36"/>
        <v>132.23325814854192</v>
      </c>
      <c r="H73" s="29">
        <f t="shared" ref="H73:P73" si="37">I$60</f>
        <v>133.55559073002732</v>
      </c>
      <c r="I73" s="29">
        <f t="shared" si="37"/>
        <v>134.89114663732761</v>
      </c>
      <c r="J73" s="29">
        <f t="shared" si="37"/>
        <v>136.24005810370087</v>
      </c>
      <c r="K73" s="29">
        <f t="shared" si="37"/>
        <v>137.60245868473791</v>
      </c>
      <c r="L73" s="29">
        <f t="shared" si="37"/>
        <v>138.97848327158525</v>
      </c>
      <c r="M73" s="29">
        <f t="shared" si="37"/>
        <v>140.36826810430108</v>
      </c>
      <c r="N73" s="29">
        <f t="shared" si="37"/>
        <v>141.77195078534413</v>
      </c>
      <c r="O73" s="29">
        <f t="shared" si="37"/>
        <v>143.18967029319754</v>
      </c>
      <c r="P73" s="29">
        <f t="shared" si="37"/>
        <v>144.62156699612953</v>
      </c>
    </row>
    <row r="74" spans="1:16" hidden="1" x14ac:dyDescent="0.45">
      <c r="A74" s="141" t="s">
        <v>226</v>
      </c>
      <c r="B74" s="29"/>
      <c r="C74" s="29"/>
      <c r="D74" s="29"/>
      <c r="E74" s="29"/>
      <c r="F74" s="29">
        <f>F67</f>
        <v>547.91220983458743</v>
      </c>
      <c r="G74" s="29">
        <f t="shared" ref="G74:P74" si="38">G68+G72</f>
        <v>573.78104629052928</v>
      </c>
      <c r="H74" s="29">
        <f t="shared" si="38"/>
        <v>601.17435098435396</v>
      </c>
      <c r="I74" s="29">
        <f t="shared" si="38"/>
        <v>630.18895377341528</v>
      </c>
      <c r="J74" s="29">
        <f t="shared" si="38"/>
        <v>660.9280494345893</v>
      </c>
      <c r="K74" s="29">
        <f t="shared" si="38"/>
        <v>693.50162448940421</v>
      </c>
      <c r="L74" s="29">
        <f t="shared" si="38"/>
        <v>728.02691301540438</v>
      </c>
      <c r="M74" s="29">
        <f t="shared" si="38"/>
        <v>764.62888342844326</v>
      </c>
      <c r="N74" s="29">
        <f t="shared" si="38"/>
        <v>803.44075835723936</v>
      </c>
      <c r="O74" s="29">
        <f t="shared" si="38"/>
        <v>844.60456987759915</v>
      </c>
      <c r="P74" s="29">
        <f t="shared" si="38"/>
        <v>888.27175252988343</v>
      </c>
    </row>
    <row r="75" spans="1:16" hidden="1" x14ac:dyDescent="0.45">
      <c r="A75" s="141" t="s">
        <v>227</v>
      </c>
      <c r="B75" s="29"/>
      <c r="C75" s="29"/>
      <c r="D75" s="29"/>
      <c r="E75" s="29"/>
      <c r="F75" s="29">
        <f>F67</f>
        <v>547.91220983458743</v>
      </c>
      <c r="G75" s="29">
        <f t="shared" ref="G75:P75" si="39">G69+G72</f>
        <v>583.40403338326837</v>
      </c>
      <c r="H75" s="29">
        <f t="shared" si="39"/>
        <v>621.87296785669707</v>
      </c>
      <c r="I75" s="29">
        <f t="shared" si="39"/>
        <v>663.59142020488844</v>
      </c>
      <c r="J75" s="29">
        <f t="shared" si="39"/>
        <v>708.85800829072389</v>
      </c>
      <c r="K75" s="29">
        <f t="shared" si="39"/>
        <v>758.00017343589934</v>
      </c>
      <c r="L75" s="29">
        <f t="shared" si="39"/>
        <v>811.37705996972682</v>
      </c>
      <c r="M75" s="29">
        <f t="shared" si="39"/>
        <v>869.382689555556</v>
      </c>
      <c r="N75" s="29">
        <f t="shared" si="39"/>
        <v>932.44946099551339</v>
      </c>
      <c r="O75" s="29">
        <f t="shared" si="39"/>
        <v>1001.0520094512468</v>
      </c>
      <c r="P75" s="29">
        <f t="shared" si="39"/>
        <v>1075.7114625997401</v>
      </c>
    </row>
    <row r="76" spans="1:16" hidden="1" x14ac:dyDescent="0.45">
      <c r="A76" s="141" t="s">
        <v>228</v>
      </c>
      <c r="B76" s="29"/>
      <c r="C76" s="29"/>
      <c r="D76" s="29">
        <f>D70+D73</f>
        <v>631.63606743472019</v>
      </c>
      <c r="E76" s="29">
        <f>E70+E73</f>
        <v>661.14948590414622</v>
      </c>
      <c r="F76" s="29">
        <f>F70+F73</f>
        <v>692.38916596344029</v>
      </c>
      <c r="G76" s="29">
        <f t="shared" ref="G76:P76" si="40">G70+G73</f>
        <v>725.4642424193861</v>
      </c>
      <c r="H76" s="29">
        <f t="shared" si="40"/>
        <v>760.49100420738603</v>
      </c>
      <c r="I76" s="29">
        <f t="shared" si="40"/>
        <v>797.59337343625202</v>
      </c>
      <c r="J76" s="29">
        <f t="shared" si="40"/>
        <v>836.90341694342806</v>
      </c>
      <c r="K76" s="29">
        <f t="shared" si="40"/>
        <v>878.56189258616689</v>
      </c>
      <c r="L76" s="29">
        <f t="shared" si="40"/>
        <v>922.7188326473871</v>
      </c>
      <c r="M76" s="29">
        <f t="shared" si="40"/>
        <v>969.53416689876008</v>
      </c>
      <c r="N76" s="29">
        <f t="shared" si="40"/>
        <v>1019.1783880386906</v>
      </c>
      <c r="O76" s="29">
        <f t="shared" si="40"/>
        <v>1071.8332624101031</v>
      </c>
      <c r="P76" s="29">
        <f t="shared" si="40"/>
        <v>1127.6925891031183</v>
      </c>
    </row>
    <row r="77" spans="1:16" hidden="1" x14ac:dyDescent="0.45">
      <c r="A77" s="141" t="s">
        <v>229</v>
      </c>
      <c r="B77" s="29"/>
      <c r="C77" s="29"/>
      <c r="D77" s="29">
        <f t="shared" ref="D77:P77" si="41">D71+D73</f>
        <v>631.63606743472019</v>
      </c>
      <c r="E77" s="29">
        <f t="shared" si="41"/>
        <v>672.55097090167465</v>
      </c>
      <c r="F77" s="29">
        <f t="shared" si="41"/>
        <v>716.91396333780176</v>
      </c>
      <c r="G77" s="29">
        <f t="shared" si="41"/>
        <v>765.04284380561444</v>
      </c>
      <c r="H77" s="29">
        <f t="shared" si="41"/>
        <v>817.28625083303666</v>
      </c>
      <c r="I77" s="29">
        <f t="shared" si="41"/>
        <v>874.02676325383982</v>
      </c>
      <c r="J77" s="29">
        <f t="shared" si="41"/>
        <v>935.68432059708084</v>
      </c>
      <c r="K77" s="29">
        <f t="shared" si="41"/>
        <v>1002.719996517945</v>
      </c>
      <c r="L77" s="29">
        <f t="shared" si="41"/>
        <v>1075.6401623141865</v>
      </c>
      <c r="M77" s="29">
        <f t="shared" si="41"/>
        <v>1155.0010815039475</v>
      </c>
      <c r="N77" s="29">
        <f t="shared" si="41"/>
        <v>1241.4139807929819</v>
      </c>
      <c r="O77" s="29">
        <f t="shared" si="41"/>
        <v>1335.5506475774669</v>
      </c>
      <c r="P77" s="29">
        <f t="shared" si="41"/>
        <v>1438.1496094628553</v>
      </c>
    </row>
    <row r="78" spans="1:16" hidden="1" x14ac:dyDescent="0.45">
      <c r="A78" s="76" t="s">
        <v>201</v>
      </c>
      <c r="B78" s="31">
        <v>440.50200000000007</v>
      </c>
      <c r="C78" s="31">
        <v>441.28700000000009</v>
      </c>
      <c r="D78" s="31">
        <v>455.94099999999997</v>
      </c>
      <c r="E78" s="31">
        <v>458.34</v>
      </c>
      <c r="F78" s="31">
        <v>478.16499999999996</v>
      </c>
      <c r="G78" s="31" t="e">
        <f>IF(('Input - Workforce Supply'!K9+'Input - Workforce Supply'!K12+'Input - Workforce Supply'!K15)=0,NA(),('Input - Workforce Supply'!K9+'Input - Workforce Supply'!K12+'Input - Workforce Supply'!K15))</f>
        <v>#N/A</v>
      </c>
      <c r="H78" s="31" t="e">
        <f>IF(('Input - Workforce Supply'!L9+'Input - Workforce Supply'!L12+'Input - Workforce Supply'!L15)=0,NA(),('Input - Workforce Supply'!L9+'Input - Workforce Supply'!L12+'Input - Workforce Supply'!L15))</f>
        <v>#N/A</v>
      </c>
      <c r="I78" s="31" t="e">
        <f>IF(('Input - Workforce Supply'!M9+'Input - Workforce Supply'!M12+'Input - Workforce Supply'!M15)=0,NA(),('Input - Workforce Supply'!M9+'Input - Workforce Supply'!M12+'Input - Workforce Supply'!M15))</f>
        <v>#N/A</v>
      </c>
      <c r="J78" s="31" t="e">
        <f>IF(('Input - Workforce Supply'!N9+'Input - Workforce Supply'!N12+'Input - Workforce Supply'!N15)=0,NA(),('Input - Workforce Supply'!N9+'Input - Workforce Supply'!N12+'Input - Workforce Supply'!N15))</f>
        <v>#N/A</v>
      </c>
      <c r="K78" s="31" t="e">
        <f>IF(('Input - Workforce Supply'!O9+'Input - Workforce Supply'!O12+'Input - Workforce Supply'!O15)=0,NA(),('Input - Workforce Supply'!O9+'Input - Workforce Supply'!O12+'Input - Workforce Supply'!O15))</f>
        <v>#N/A</v>
      </c>
      <c r="L78" s="31" t="e">
        <f>IF(('Input - Workforce Supply'!P9+'Input - Workforce Supply'!P12+'Input - Workforce Supply'!P15)=0,NA(),('Input - Workforce Supply'!P9+'Input - Workforce Supply'!P12+'Input - Workforce Supply'!P15))</f>
        <v>#N/A</v>
      </c>
      <c r="M78" s="31" t="e">
        <f>IF(('Input - Workforce Supply'!Q9+'Input - Workforce Supply'!Q12+'Input - Workforce Supply'!Q15)=0,NA(),('Input - Workforce Supply'!Q9+'Input - Workforce Supply'!Q12+'Input - Workforce Supply'!Q15))</f>
        <v>#N/A</v>
      </c>
      <c r="N78" s="31" t="e">
        <f>IF(('Input - Workforce Supply'!R9+'Input - Workforce Supply'!R12+'Input - Workforce Supply'!R15)=0,NA(),('Input - Workforce Supply'!R9+'Input - Workforce Supply'!R12+'Input - Workforce Supply'!R15))</f>
        <v>#N/A</v>
      </c>
      <c r="O78" s="31" t="e">
        <f>IF(('Input - Workforce Supply'!S9+'Input - Workforce Supply'!S12+'Input - Workforce Supply'!S15)=0,NA(),('Input - Workforce Supply'!S9+'Input - Workforce Supply'!S12+'Input - Workforce Supply'!S15))</f>
        <v>#N/A</v>
      </c>
      <c r="P78" s="31" t="e">
        <f>IF(('Input - Workforce Supply'!T9+'Input - Workforce Supply'!T12+'Input - Workforce Supply'!T15)=0,NA(),('Input - Workforce Supply'!T9+'Input - Workforce Supply'!T12+'Input - Workforce Supply'!T15))</f>
        <v>#N/A</v>
      </c>
    </row>
    <row r="79" spans="1:16" hidden="1" x14ac:dyDescent="0.45">
      <c r="A79" s="76" t="s">
        <v>202</v>
      </c>
      <c r="B79" s="31">
        <f>IF(('Input - Workforce Supply'!F10+'Input - Workforce Supply'!F13+'Input - Workforce Supply'!F16)=0,NA(),('Input - Workforce Supply'!F10+'Input - Workforce Supply'!F13+'Input - Workforce Supply'!F16))</f>
        <v>432</v>
      </c>
      <c r="C79" s="31">
        <f>IF(('Input - Workforce Supply'!G10+'Input - Workforce Supply'!G13+'Input - Workforce Supply'!G16)=0,NA(),('Input - Workforce Supply'!G10+'Input - Workforce Supply'!G13+'Input - Workforce Supply'!G16))</f>
        <v>427.2</v>
      </c>
      <c r="D79" s="31">
        <f>IF(('Input - Workforce Supply'!H10+'Input - Workforce Supply'!H13+'Input - Workforce Supply'!H16)=0,NA(),('Input - Workforce Supply'!H10+'Input - Workforce Supply'!H13+'Input - Workforce Supply'!H16))</f>
        <v>440.90000000000003</v>
      </c>
      <c r="E79" s="31">
        <f>IF(('Input - Workforce Supply'!I10+'Input - Workforce Supply'!I13+'Input - Workforce Supply'!I16)=0,NA(),('Input - Workforce Supply'!I10+'Input - Workforce Supply'!I13+'Input - Workforce Supply'!I16))</f>
        <v>448.7</v>
      </c>
      <c r="F79" s="31">
        <f>IF(('Input - Workforce Supply'!J10+'Input - Workforce Supply'!J13+'Input - Workforce Supply'!J16)=0,NA(),('Input - Workforce Supply'!J10+'Input - Workforce Supply'!J13+'Input - Workforce Supply'!J16))</f>
        <v>468.2</v>
      </c>
      <c r="G79" s="31" t="e">
        <f>IF(('Input - Workforce Supply'!K10+'Input - Workforce Supply'!K13+'Input - Workforce Supply'!K16)=0,NA(),('Input - Workforce Supply'!K10+'Input - Workforce Supply'!K13+'Input - Workforce Supply'!K16))</f>
        <v>#N/A</v>
      </c>
      <c r="H79" s="31" t="e">
        <f>IF(('Input - Workforce Supply'!L10+'Input - Workforce Supply'!L13+'Input - Workforce Supply'!L16)=0,NA(),('Input - Workforce Supply'!L10+'Input - Workforce Supply'!L13+'Input - Workforce Supply'!L16))</f>
        <v>#N/A</v>
      </c>
      <c r="I79" s="31" t="e">
        <f>IF(('Input - Workforce Supply'!M10+'Input - Workforce Supply'!M13+'Input - Workforce Supply'!M16)=0,NA(),('Input - Workforce Supply'!M10+'Input - Workforce Supply'!M13+'Input - Workforce Supply'!M16))</f>
        <v>#N/A</v>
      </c>
      <c r="J79" s="31" t="e">
        <f>IF(('Input - Workforce Supply'!N10+'Input - Workforce Supply'!N13+'Input - Workforce Supply'!N16)=0,NA(),('Input - Workforce Supply'!N10+'Input - Workforce Supply'!N13+'Input - Workforce Supply'!N16))</f>
        <v>#N/A</v>
      </c>
      <c r="K79" s="31" t="e">
        <f>IF(('Input - Workforce Supply'!O10+'Input - Workforce Supply'!O13+'Input - Workforce Supply'!O16)=0,NA(),('Input - Workforce Supply'!O10+'Input - Workforce Supply'!O13+'Input - Workforce Supply'!O16))</f>
        <v>#N/A</v>
      </c>
      <c r="L79" s="31" t="e">
        <f>IF(('Input - Workforce Supply'!P10+'Input - Workforce Supply'!P13+'Input - Workforce Supply'!P16)=0,NA(),('Input - Workforce Supply'!P10+'Input - Workforce Supply'!P13+'Input - Workforce Supply'!P16))</f>
        <v>#N/A</v>
      </c>
      <c r="M79" s="31" t="e">
        <f>IF(('Input - Workforce Supply'!Q10+'Input - Workforce Supply'!Q13+'Input - Workforce Supply'!Q16)=0,NA(),('Input - Workforce Supply'!Q10+'Input - Workforce Supply'!Q13+'Input - Workforce Supply'!Q16))</f>
        <v>#N/A</v>
      </c>
      <c r="N79" s="31" t="e">
        <f>IF(('Input - Workforce Supply'!R10+'Input - Workforce Supply'!R13+'Input - Workforce Supply'!R16)=0,NA(),('Input - Workforce Supply'!R10+'Input - Workforce Supply'!R13+'Input - Workforce Supply'!R16))</f>
        <v>#N/A</v>
      </c>
      <c r="O79" s="31" t="e">
        <f>IF(('Input - Workforce Supply'!S10+'Input - Workforce Supply'!S13+'Input - Workforce Supply'!S16)=0,NA(),('Input - Workforce Supply'!S10+'Input - Workforce Supply'!S13+'Input - Workforce Supply'!S16))</f>
        <v>#N/A</v>
      </c>
      <c r="P79" s="31" t="e">
        <f>IF(('Input - Workforce Supply'!T10+'Input - Workforce Supply'!T13+'Input - Workforce Supply'!T16)=0,NA(),('Input - Workforce Supply'!T10+'Input - Workforce Supply'!T13+'Input - Workforce Supply'!T16))</f>
        <v>#N/A</v>
      </c>
    </row>
    <row r="80" spans="1:16" hidden="1" x14ac:dyDescent="0.45">
      <c r="A80" s="141" t="s">
        <v>203</v>
      </c>
      <c r="B80" s="29">
        <f>IF('Input - Workforce Supply'!F10=0,NA(),'Input - Workforce Supply'!F10)</f>
        <v>67.099999999999994</v>
      </c>
      <c r="C80" s="29">
        <f>IF('Input - Workforce Supply'!G10=0,NA(),'Input - Workforce Supply'!G10)</f>
        <v>59</v>
      </c>
      <c r="D80" s="29">
        <f>IF('Input - Workforce Supply'!H10=0,NA(),'Input - Workforce Supply'!H10)</f>
        <v>67.099999999999994</v>
      </c>
      <c r="E80" s="29">
        <f>IF('Input - Workforce Supply'!I10=0,NA(),'Input - Workforce Supply'!I10)</f>
        <v>57.9</v>
      </c>
      <c r="F80" s="29">
        <f>IF('Input - Workforce Supply'!J10=0,NA(),'Input - Workforce Supply'!J10)</f>
        <v>56.9</v>
      </c>
      <c r="G80" s="29" t="e">
        <f>IF('Input - Workforce Supply'!K10=0,NA(),'Input - Workforce Supply'!K10)</f>
        <v>#N/A</v>
      </c>
      <c r="H80" s="29" t="e">
        <f>IF('Input - Workforce Supply'!L10=0,NA(),'Input - Workforce Supply'!L10)</f>
        <v>#N/A</v>
      </c>
      <c r="I80" s="29" t="e">
        <f>IF('Input - Workforce Supply'!M10=0,NA(),'Input - Workforce Supply'!M10)</f>
        <v>#N/A</v>
      </c>
      <c r="J80" s="29" t="e">
        <f>IF('Input - Workforce Supply'!N10=0,NA(),'Input - Workforce Supply'!N10)</f>
        <v>#N/A</v>
      </c>
      <c r="K80" s="29" t="e">
        <f>IF('Input - Workforce Supply'!O10=0,NA(),'Input - Workforce Supply'!O10)</f>
        <v>#N/A</v>
      </c>
      <c r="L80" s="29" t="e">
        <f>IF('Input - Workforce Supply'!P10=0,NA(),'Input - Workforce Supply'!P10)</f>
        <v>#N/A</v>
      </c>
      <c r="M80" s="29" t="e">
        <f>IF('Input - Workforce Supply'!Q10=0,NA(),'Input - Workforce Supply'!Q10)</f>
        <v>#N/A</v>
      </c>
      <c r="N80" s="29" t="e">
        <f>IF('Input - Workforce Supply'!R10=0,NA(),'Input - Workforce Supply'!R10)</f>
        <v>#N/A</v>
      </c>
      <c r="O80" s="29" t="e">
        <f>IF('Input - Workforce Supply'!S10=0,NA(),'Input - Workforce Supply'!S10)</f>
        <v>#N/A</v>
      </c>
      <c r="P80" s="29" t="e">
        <f>IF('Input - Workforce Supply'!T10=0,NA(),'Input - Workforce Supply'!T10)</f>
        <v>#N/A</v>
      </c>
    </row>
    <row r="81" spans="1:16" hidden="1" x14ac:dyDescent="0.45">
      <c r="A81" s="141" t="s">
        <v>204</v>
      </c>
      <c r="B81" s="29">
        <f>IF('Input - Workforce Supply'!F13=0,NA(),'Input - Workforce Supply'!F13)</f>
        <v>289.89999999999998</v>
      </c>
      <c r="C81" s="29">
        <f>IF('Input - Workforce Supply'!G13=0,NA(),'Input - Workforce Supply'!G13)</f>
        <v>298.5</v>
      </c>
      <c r="D81" s="29">
        <f>IF('Input - Workforce Supply'!H13=0,NA(),'Input - Workforce Supply'!H13)</f>
        <v>298.5</v>
      </c>
      <c r="E81" s="29">
        <f>IF('Input - Workforce Supply'!I13=0,NA(),'Input - Workforce Supply'!I13)</f>
        <v>314.10000000000002</v>
      </c>
      <c r="F81" s="29">
        <f>IF('Input - Workforce Supply'!J13=0,NA(),'Input - Workforce Supply'!J13)</f>
        <v>337.6</v>
      </c>
      <c r="G81" s="29" t="e">
        <f>IF('Input - Workforce Supply'!K13=0,NA(),'Input - Workforce Supply'!K13)</f>
        <v>#N/A</v>
      </c>
      <c r="H81" s="29" t="e">
        <f>IF('Input - Workforce Supply'!L13=0,NA(),'Input - Workforce Supply'!L13)</f>
        <v>#N/A</v>
      </c>
      <c r="I81" s="29" t="e">
        <f>IF('Input - Workforce Supply'!M13=0,NA(),'Input - Workforce Supply'!M13)</f>
        <v>#N/A</v>
      </c>
      <c r="J81" s="29" t="e">
        <f>IF('Input - Workforce Supply'!N13=0,NA(),'Input - Workforce Supply'!N13)</f>
        <v>#N/A</v>
      </c>
      <c r="K81" s="29" t="e">
        <f>IF('Input - Workforce Supply'!O13=0,NA(),'Input - Workforce Supply'!O13)</f>
        <v>#N/A</v>
      </c>
      <c r="L81" s="29" t="e">
        <f>IF('Input - Workforce Supply'!P13=0,NA(),'Input - Workforce Supply'!P13)</f>
        <v>#N/A</v>
      </c>
      <c r="M81" s="29" t="e">
        <f>IF('Input - Workforce Supply'!Q13=0,NA(),'Input - Workforce Supply'!Q13)</f>
        <v>#N/A</v>
      </c>
      <c r="N81" s="29" t="e">
        <f>IF('Input - Workforce Supply'!R13=0,NA(),'Input - Workforce Supply'!R13)</f>
        <v>#N/A</v>
      </c>
      <c r="O81" s="29" t="e">
        <f>IF('Input - Workforce Supply'!S13=0,NA(),'Input - Workforce Supply'!S13)</f>
        <v>#N/A</v>
      </c>
      <c r="P81" s="29" t="e">
        <f>IF('Input - Workforce Supply'!T13=0,NA(),'Input - Workforce Supply'!T13)</f>
        <v>#N/A</v>
      </c>
    </row>
    <row r="82" spans="1:16" hidden="1" x14ac:dyDescent="0.45">
      <c r="A82" s="141" t="s">
        <v>205</v>
      </c>
      <c r="B82" s="29">
        <f>IF('Input - Workforce Supply'!F16=0,NA(),'Input - Workforce Supply'!F16)</f>
        <v>75</v>
      </c>
      <c r="C82" s="29">
        <f>IF('Input - Workforce Supply'!G16=0,NA(),'Input - Workforce Supply'!G16)</f>
        <v>69.7</v>
      </c>
      <c r="D82" s="29">
        <f>IF('Input - Workforce Supply'!H16=0,NA(),'Input - Workforce Supply'!H16)</f>
        <v>75.3</v>
      </c>
      <c r="E82" s="29">
        <f>IF('Input - Workforce Supply'!I16=0,NA(),'Input - Workforce Supply'!I16)</f>
        <v>76.7</v>
      </c>
      <c r="F82" s="29">
        <f>IF('Input - Workforce Supply'!J16=0,NA(),'Input - Workforce Supply'!J16)</f>
        <v>73.7</v>
      </c>
      <c r="G82" s="29" t="e">
        <f>IF('Input - Workforce Supply'!K16=0,NA(),'Input - Workforce Supply'!K16)</f>
        <v>#N/A</v>
      </c>
      <c r="H82" s="29" t="e">
        <f>IF('Input - Workforce Supply'!L16=0,NA(),'Input - Workforce Supply'!L16)</f>
        <v>#N/A</v>
      </c>
      <c r="I82" s="29" t="e">
        <f>IF('Input - Workforce Supply'!M16=0,NA(),'Input - Workforce Supply'!M16)</f>
        <v>#N/A</v>
      </c>
      <c r="J82" s="29" t="e">
        <f>IF('Input - Workforce Supply'!N16=0,NA(),'Input - Workforce Supply'!N16)</f>
        <v>#N/A</v>
      </c>
      <c r="K82" s="29" t="e">
        <f>IF('Input - Workforce Supply'!O16=0,NA(),'Input - Workforce Supply'!O16)</f>
        <v>#N/A</v>
      </c>
      <c r="L82" s="29" t="e">
        <f>IF('Input - Workforce Supply'!P16=0,NA(),'Input - Workforce Supply'!P16)</f>
        <v>#N/A</v>
      </c>
      <c r="M82" s="29" t="e">
        <f>IF('Input - Workforce Supply'!Q16=0,NA(),'Input - Workforce Supply'!Q16)</f>
        <v>#N/A</v>
      </c>
      <c r="N82" s="29" t="e">
        <f>IF('Input - Workforce Supply'!R16=0,NA(),'Input - Workforce Supply'!R16)</f>
        <v>#N/A</v>
      </c>
      <c r="O82" s="29" t="e">
        <f>IF('Input - Workforce Supply'!S16=0,NA(),'Input - Workforce Supply'!S16)</f>
        <v>#N/A</v>
      </c>
      <c r="P82" s="29" t="e">
        <f>IF('Input - Workforce Supply'!T16=0,NA(),'Input - Workforce Supply'!T16)</f>
        <v>#N/A</v>
      </c>
    </row>
    <row r="83" spans="1:16" hidden="1" x14ac:dyDescent="0.45">
      <c r="A83" s="153"/>
      <c r="B83" s="75"/>
      <c r="C83" s="75"/>
      <c r="D83" s="75"/>
      <c r="E83" s="75"/>
      <c r="F83" s="75"/>
      <c r="G83" s="75"/>
      <c r="H83" s="75"/>
      <c r="I83" s="75"/>
      <c r="J83" s="75"/>
      <c r="K83" s="75"/>
      <c r="L83" s="75"/>
      <c r="M83" s="75"/>
      <c r="N83" s="75"/>
      <c r="O83" s="75"/>
      <c r="P83" s="75"/>
    </row>
    <row r="84" spans="1:16" ht="20" hidden="1" customHeight="1" x14ac:dyDescent="0.45">
      <c r="A84" s="146" t="s">
        <v>400</v>
      </c>
      <c r="B84" s="8" t="s">
        <v>73</v>
      </c>
      <c r="C84" s="8" t="s">
        <v>74</v>
      </c>
      <c r="D84" s="8" t="s">
        <v>75</v>
      </c>
      <c r="E84" s="8" t="s">
        <v>76</v>
      </c>
      <c r="F84" s="8" t="s">
        <v>77</v>
      </c>
      <c r="G84" s="8" t="s">
        <v>78</v>
      </c>
      <c r="H84" s="8" t="s">
        <v>79</v>
      </c>
      <c r="I84" s="8" t="s">
        <v>87</v>
      </c>
      <c r="J84" s="8" t="s">
        <v>86</v>
      </c>
      <c r="K84" s="8" t="s">
        <v>85</v>
      </c>
      <c r="L84" s="8" t="s">
        <v>84</v>
      </c>
      <c r="M84" s="8" t="s">
        <v>83</v>
      </c>
      <c r="N84" s="8" t="s">
        <v>82</v>
      </c>
      <c r="O84" s="8" t="s">
        <v>81</v>
      </c>
      <c r="P84" s="8" t="s">
        <v>80</v>
      </c>
    </row>
    <row r="85" spans="1:16" hidden="1" x14ac:dyDescent="0.45">
      <c r="A85" s="77" t="s">
        <v>191</v>
      </c>
      <c r="B85" s="29">
        <f>C$16</f>
        <v>424.42540143629469</v>
      </c>
      <c r="C85" s="29">
        <f t="shared" ref="C85:F85" si="42">D$16</f>
        <v>426.36488340192045</v>
      </c>
      <c r="D85" s="29">
        <f t="shared" si="42"/>
        <v>416.82372306947474</v>
      </c>
      <c r="E85" s="29">
        <f t="shared" si="42"/>
        <v>303.29240700395388</v>
      </c>
      <c r="F85" s="29">
        <f t="shared" si="42"/>
        <v>366.19084967320265</v>
      </c>
      <c r="G85" s="29"/>
      <c r="H85" s="29"/>
      <c r="I85" s="29"/>
      <c r="J85" s="29"/>
      <c r="K85" s="29"/>
      <c r="L85" s="29"/>
      <c r="M85" s="29"/>
      <c r="N85" s="29"/>
      <c r="O85" s="29"/>
      <c r="P85" s="29"/>
    </row>
    <row r="86" spans="1:16" hidden="1" x14ac:dyDescent="0.45">
      <c r="A86" s="187" t="s">
        <v>192</v>
      </c>
      <c r="B86" s="29">
        <f>C$17</f>
        <v>1005.9609464156033</v>
      </c>
      <c r="C86" s="29">
        <f t="shared" ref="C86:F86" si="43">D$17</f>
        <v>1035.2005718954247</v>
      </c>
      <c r="D86" s="29">
        <f t="shared" si="43"/>
        <v>1063.7216970121381</v>
      </c>
      <c r="E86" s="29">
        <f t="shared" si="43"/>
        <v>890.02192265795202</v>
      </c>
      <c r="F86" s="29">
        <f t="shared" si="43"/>
        <v>965.62915629214649</v>
      </c>
      <c r="G86" s="29"/>
      <c r="H86" s="29"/>
      <c r="I86" s="29"/>
      <c r="J86" s="29"/>
      <c r="K86" s="29"/>
      <c r="L86" s="29"/>
      <c r="M86" s="29"/>
      <c r="N86" s="29"/>
      <c r="O86" s="29"/>
      <c r="P86" s="29"/>
    </row>
    <row r="87" spans="1:16" hidden="1" x14ac:dyDescent="0.45">
      <c r="A87" s="187" t="s">
        <v>208</v>
      </c>
      <c r="B87" s="29">
        <f>C$22</f>
        <v>310.57127496590817</v>
      </c>
      <c r="C87" s="29">
        <f t="shared" ref="C87:F87" si="44">D$22</f>
        <v>316.28205592063352</v>
      </c>
      <c r="D87" s="29">
        <f t="shared" si="44"/>
        <v>318.61605549060903</v>
      </c>
      <c r="E87" s="29">
        <f t="shared" si="44"/>
        <v>254.1435043196895</v>
      </c>
      <c r="F87" s="29">
        <f t="shared" si="44"/>
        <v>283.77406039884232</v>
      </c>
      <c r="G87" s="29"/>
      <c r="H87" s="29"/>
      <c r="I87" s="29"/>
      <c r="J87" s="29"/>
      <c r="K87" s="29"/>
      <c r="L87" s="29"/>
      <c r="M87" s="29"/>
      <c r="N87" s="29"/>
      <c r="O87" s="29"/>
      <c r="P87" s="29"/>
    </row>
    <row r="88" spans="1:16" hidden="1" x14ac:dyDescent="0.45">
      <c r="A88" s="187" t="s">
        <v>219</v>
      </c>
      <c r="B88" s="29">
        <f>SUM(B85:B87)</f>
        <v>1740.9576228178062</v>
      </c>
      <c r="C88" s="29">
        <f t="shared" ref="C88:F88" si="45">SUM(C85:C87)</f>
        <v>1777.8475112179785</v>
      </c>
      <c r="D88" s="29">
        <f t="shared" si="45"/>
        <v>1799.1614755722217</v>
      </c>
      <c r="E88" s="29">
        <f t="shared" si="45"/>
        <v>1447.4578339815955</v>
      </c>
      <c r="F88" s="29">
        <f t="shared" si="45"/>
        <v>1615.5940663641913</v>
      </c>
      <c r="G88" s="29"/>
      <c r="H88" s="29"/>
      <c r="I88" s="29"/>
      <c r="J88" s="29"/>
      <c r="K88" s="29"/>
      <c r="L88" s="29"/>
      <c r="M88" s="29"/>
      <c r="N88" s="29"/>
      <c r="O88" s="29"/>
      <c r="P88" s="29"/>
    </row>
    <row r="89" spans="1:16" hidden="1" x14ac:dyDescent="0.45">
      <c r="A89" s="187" t="s">
        <v>190</v>
      </c>
      <c r="B89" s="29"/>
      <c r="C89" s="29"/>
      <c r="D89" s="29"/>
      <c r="E89" s="29"/>
      <c r="F89" s="29">
        <f>F85</f>
        <v>366.19084967320265</v>
      </c>
      <c r="G89" s="29">
        <f>H$16</f>
        <v>369.85275816993465</v>
      </c>
      <c r="H89" s="29">
        <f t="shared" ref="H89:P89" si="46">I$16</f>
        <v>373.55128575163394</v>
      </c>
      <c r="I89" s="29">
        <f t="shared" si="46"/>
        <v>377.28679860915025</v>
      </c>
      <c r="J89" s="29">
        <f t="shared" si="46"/>
        <v>381.05966659524182</v>
      </c>
      <c r="K89" s="29">
        <f t="shared" si="46"/>
        <v>384.87026326119422</v>
      </c>
      <c r="L89" s="29">
        <f t="shared" si="46"/>
        <v>388.71896589380617</v>
      </c>
      <c r="M89" s="29">
        <f t="shared" si="46"/>
        <v>392.60615555274421</v>
      </c>
      <c r="N89" s="29">
        <f t="shared" si="46"/>
        <v>396.53221710827165</v>
      </c>
      <c r="O89" s="29">
        <f t="shared" si="46"/>
        <v>400.49753927935438</v>
      </c>
      <c r="P89" s="29">
        <f t="shared" si="46"/>
        <v>404.50251467214792</v>
      </c>
    </row>
    <row r="90" spans="1:16" hidden="1" x14ac:dyDescent="0.45">
      <c r="A90" s="187" t="s">
        <v>193</v>
      </c>
      <c r="B90" s="29"/>
      <c r="C90" s="29"/>
      <c r="D90" s="29">
        <f>E$47</f>
        <v>427.81432529115898</v>
      </c>
      <c r="E90" s="29">
        <f t="shared" ref="E90:P90" si="47">F$47</f>
        <v>432.09246854407058</v>
      </c>
      <c r="F90" s="29">
        <f t="shared" si="47"/>
        <v>436.41339322951131</v>
      </c>
      <c r="G90" s="29">
        <f t="shared" si="47"/>
        <v>440.7775271618064</v>
      </c>
      <c r="H90" s="29">
        <f t="shared" si="47"/>
        <v>445.18530243342445</v>
      </c>
      <c r="I90" s="29">
        <f t="shared" si="47"/>
        <v>449.63715545775875</v>
      </c>
      <c r="J90" s="29">
        <f t="shared" si="47"/>
        <v>454.13352701233623</v>
      </c>
      <c r="K90" s="29">
        <f t="shared" si="47"/>
        <v>458.67486228245969</v>
      </c>
      <c r="L90" s="29">
        <f t="shared" si="47"/>
        <v>463.26161090528421</v>
      </c>
      <c r="M90" s="29">
        <f t="shared" si="47"/>
        <v>467.89422701433699</v>
      </c>
      <c r="N90" s="29">
        <f t="shared" si="47"/>
        <v>472.57316928448046</v>
      </c>
      <c r="O90" s="29">
        <f t="shared" si="47"/>
        <v>477.29890097732516</v>
      </c>
      <c r="P90" s="29">
        <f t="shared" si="47"/>
        <v>482.07188998709842</v>
      </c>
    </row>
    <row r="91" spans="1:16" hidden="1" x14ac:dyDescent="0.45">
      <c r="A91" s="187" t="s">
        <v>194</v>
      </c>
      <c r="B91" s="29"/>
      <c r="C91" s="29"/>
      <c r="D91" s="29"/>
      <c r="E91" s="29"/>
      <c r="F91" s="29">
        <f>F86</f>
        <v>965.62915629214649</v>
      </c>
      <c r="G91" s="29">
        <f>H$17</f>
        <v>1028.4145415758894</v>
      </c>
      <c r="H91" s="29">
        <f t="shared" ref="H91:P91" si="48">I$17</f>
        <v>1095.4535821247018</v>
      </c>
      <c r="I91" s="29">
        <f t="shared" si="48"/>
        <v>1167.0370264811963</v>
      </c>
      <c r="J91" s="29">
        <f t="shared" si="48"/>
        <v>1243.4755698661761</v>
      </c>
      <c r="K91" s="29">
        <f t="shared" si="48"/>
        <v>1325.1012262501183</v>
      </c>
      <c r="L91" s="29">
        <f t="shared" si="48"/>
        <v>1412.2687950193722</v>
      </c>
      <c r="M91" s="29">
        <f t="shared" si="48"/>
        <v>1505.3574287717033</v>
      </c>
      <c r="N91" s="29">
        <f t="shared" si="48"/>
        <v>1604.7723092280155</v>
      </c>
      <c r="O91" s="29">
        <f t="shared" si="48"/>
        <v>1710.946438730618</v>
      </c>
      <c r="P91" s="29">
        <f t="shared" si="48"/>
        <v>1824.3425553154912</v>
      </c>
    </row>
    <row r="92" spans="1:16" hidden="1" x14ac:dyDescent="0.45">
      <c r="A92" s="187" t="s">
        <v>195</v>
      </c>
      <c r="B92" s="29"/>
      <c r="C92" s="29"/>
      <c r="D92" s="29"/>
      <c r="E92" s="29"/>
      <c r="F92" s="29">
        <f>F86</f>
        <v>965.62915629214649</v>
      </c>
      <c r="G92" s="29">
        <f>H$18</f>
        <v>1050.6000846820211</v>
      </c>
      <c r="H92" s="29">
        <f t="shared" ref="H92:P92" si="49">I$18</f>
        <v>1143.6777025728811</v>
      </c>
      <c r="I92" s="29">
        <f t="shared" si="49"/>
        <v>1245.662843270801</v>
      </c>
      <c r="J92" s="29">
        <f t="shared" si="49"/>
        <v>1357.4372967093134</v>
      </c>
      <c r="K92" s="29">
        <f t="shared" si="49"/>
        <v>1479.9721333340744</v>
      </c>
      <c r="L92" s="29">
        <f t="shared" si="49"/>
        <v>1614.336894922757</v>
      </c>
      <c r="M92" s="29">
        <f t="shared" si="49"/>
        <v>1761.7097435382982</v>
      </c>
      <c r="N92" s="29">
        <f t="shared" si="49"/>
        <v>1923.3886694836463</v>
      </c>
      <c r="O92" s="29">
        <f t="shared" si="49"/>
        <v>2100.8038698280875</v>
      </c>
      <c r="P92" s="29">
        <f t="shared" si="49"/>
        <v>2295.5314209198023</v>
      </c>
    </row>
    <row r="93" spans="1:16" hidden="1" x14ac:dyDescent="0.45">
      <c r="A93" s="187" t="s">
        <v>196</v>
      </c>
      <c r="B93" s="29"/>
      <c r="C93" s="29"/>
      <c r="D93" s="29">
        <f>E$48</f>
        <v>1075.1816492028909</v>
      </c>
      <c r="E93" s="29">
        <f t="shared" ref="E93:P93" si="50">F$48</f>
        <v>1145.1832641698654</v>
      </c>
      <c r="F93" s="29">
        <f t="shared" si="50"/>
        <v>1219.9323708700763</v>
      </c>
      <c r="G93" s="29">
        <f t="shared" si="50"/>
        <v>1299.753766893125</v>
      </c>
      <c r="H93" s="29">
        <f t="shared" si="50"/>
        <v>1384.9945503544527</v>
      </c>
      <c r="I93" s="29">
        <f t="shared" si="50"/>
        <v>1476.0256549768685</v>
      </c>
      <c r="J93" s="29">
        <f t="shared" si="50"/>
        <v>1573.2434910720963</v>
      </c>
      <c r="K93" s="29">
        <f t="shared" si="50"/>
        <v>1677.0716997420222</v>
      </c>
      <c r="L93" s="29">
        <f t="shared" si="50"/>
        <v>1787.9630281260888</v>
      </c>
      <c r="M93" s="29">
        <f t="shared" si="50"/>
        <v>1906.4013340632159</v>
      </c>
      <c r="N93" s="29">
        <f t="shared" si="50"/>
        <v>2032.9037291161089</v>
      </c>
      <c r="O93" s="29">
        <f t="shared" si="50"/>
        <v>2168.0228695255032</v>
      </c>
      <c r="P93" s="29">
        <f t="shared" si="50"/>
        <v>2312.3494053245472</v>
      </c>
    </row>
    <row r="94" spans="1:16" hidden="1" x14ac:dyDescent="0.45">
      <c r="A94" s="187" t="s">
        <v>197</v>
      </c>
      <c r="B94" s="29"/>
      <c r="C94" s="29"/>
      <c r="D94" s="29">
        <f>E$49</f>
        <v>1075.1816492028909</v>
      </c>
      <c r="E94" s="29">
        <f t="shared" ref="E94:P94" si="51">F$49</f>
        <v>1171.1390624891933</v>
      </c>
      <c r="F94" s="29">
        <f t="shared" si="51"/>
        <v>1276.3784769391707</v>
      </c>
      <c r="G94" s="29">
        <f t="shared" si="51"/>
        <v>1391.8286641088114</v>
      </c>
      <c r="H94" s="29">
        <f t="shared" si="51"/>
        <v>1518.5133816437151</v>
      </c>
      <c r="I94" s="29">
        <f t="shared" si="51"/>
        <v>1657.5612409000792</v>
      </c>
      <c r="J94" s="29">
        <f t="shared" si="51"/>
        <v>1810.2166116203402</v>
      </c>
      <c r="K94" s="29">
        <f t="shared" si="51"/>
        <v>1977.8516736183083</v>
      </c>
      <c r="L94" s="29">
        <f t="shared" si="51"/>
        <v>2161.9797371667464</v>
      </c>
      <c r="M94" s="29">
        <f t="shared" si="51"/>
        <v>2364.2699667783818</v>
      </c>
      <c r="N94" s="29">
        <f t="shared" si="51"/>
        <v>2586.5636574651257</v>
      </c>
      <c r="O94" s="29">
        <f t="shared" si="51"/>
        <v>2830.8922285002786</v>
      </c>
      <c r="P94" s="29">
        <f t="shared" si="51"/>
        <v>3099.4971173616291</v>
      </c>
    </row>
    <row r="95" spans="1:16" hidden="1" x14ac:dyDescent="0.45">
      <c r="A95" s="187" t="s">
        <v>215</v>
      </c>
      <c r="B95" s="29"/>
      <c r="C95" s="29"/>
      <c r="D95" s="29"/>
      <c r="E95" s="29"/>
      <c r="F95" s="29">
        <f>F87</f>
        <v>283.77406039884232</v>
      </c>
      <c r="G95" s="29">
        <f>H$22</f>
        <v>297.44889728259813</v>
      </c>
      <c r="H95" s="29">
        <f t="shared" ref="H95:P95" si="52">I$22</f>
        <v>311.96708244112079</v>
      </c>
      <c r="I95" s="29">
        <f t="shared" si="52"/>
        <v>327.38409210128731</v>
      </c>
      <c r="J95" s="29">
        <f t="shared" si="52"/>
        <v>343.75913311180454</v>
      </c>
      <c r="K95" s="29">
        <f t="shared" si="52"/>
        <v>361.15539665254278</v>
      </c>
      <c r="L95" s="29">
        <f t="shared" si="52"/>
        <v>379.64032931959235</v>
      </c>
      <c r="M95" s="29">
        <f t="shared" si="52"/>
        <v>399.2859227817242</v>
      </c>
      <c r="N95" s="29">
        <f t="shared" si="52"/>
        <v>420.16902328649064</v>
      </c>
      <c r="O95" s="29">
        <f t="shared" si="52"/>
        <v>442.37166238246954</v>
      </c>
      <c r="P95" s="29">
        <f t="shared" si="52"/>
        <v>465.98141031854431</v>
      </c>
    </row>
    <row r="96" spans="1:16" hidden="1" x14ac:dyDescent="0.45">
      <c r="A96" s="187" t="s">
        <v>216</v>
      </c>
      <c r="B96" s="29"/>
      <c r="C96" s="29"/>
      <c r="D96" s="29"/>
      <c r="E96" s="29"/>
      <c r="F96" s="29">
        <f>F87</f>
        <v>283.77406039884232</v>
      </c>
      <c r="G96" s="29">
        <f>H$23</f>
        <v>302.26506694296603</v>
      </c>
      <c r="H96" s="29">
        <f t="shared" ref="H96:P96" si="53">I$23</f>
        <v>322.37851407429844</v>
      </c>
      <c r="I96" s="29">
        <f t="shared" si="53"/>
        <v>344.26862929286102</v>
      </c>
      <c r="J96" s="29">
        <f t="shared" si="53"/>
        <v>368.10487929969565</v>
      </c>
      <c r="K96" s="29">
        <f t="shared" si="53"/>
        <v>394.07351521500885</v>
      </c>
      <c r="L96" s="29">
        <f t="shared" si="53"/>
        <v>422.37927739444905</v>
      </c>
      <c r="M96" s="29">
        <f t="shared" si="53"/>
        <v>453.24727655052936</v>
      </c>
      <c r="N96" s="29">
        <f t="shared" si="53"/>
        <v>486.92506965268745</v>
      </c>
      <c r="O96" s="29">
        <f t="shared" si="53"/>
        <v>523.6849510341516</v>
      </c>
      <c r="P96" s="29">
        <f t="shared" si="53"/>
        <v>563.82648129684992</v>
      </c>
    </row>
    <row r="97" spans="1:16" hidden="1" x14ac:dyDescent="0.45">
      <c r="A97" s="187" t="s">
        <v>217</v>
      </c>
      <c r="B97" s="29"/>
      <c r="C97" s="29"/>
      <c r="D97" s="29">
        <f>E$53</f>
        <v>323.84276352465292</v>
      </c>
      <c r="E97" s="29">
        <f t="shared" ref="E97:P97" si="54">F$53</f>
        <v>339.28700709306628</v>
      </c>
      <c r="F97" s="29">
        <f t="shared" si="54"/>
        <v>355.67922775780175</v>
      </c>
      <c r="G97" s="29">
        <f t="shared" si="54"/>
        <v>373.08165378035312</v>
      </c>
      <c r="H97" s="29">
        <f t="shared" si="54"/>
        <v>391.56069429948525</v>
      </c>
      <c r="I97" s="29">
        <f t="shared" si="54"/>
        <v>411.18722357911162</v>
      </c>
      <c r="J97" s="29">
        <f t="shared" si="54"/>
        <v>432.03688472425307</v>
      </c>
      <c r="K97" s="29">
        <f t="shared" si="54"/>
        <v>454.19041420503078</v>
      </c>
      <c r="L97" s="29">
        <f t="shared" si="54"/>
        <v>477.73398862118495</v>
      </c>
      <c r="M97" s="29">
        <f t="shared" si="54"/>
        <v>502.75959523856807</v>
      </c>
      <c r="N97" s="29">
        <f t="shared" si="54"/>
        <v>529.36542793486103</v>
      </c>
      <c r="O97" s="29">
        <f t="shared" si="54"/>
        <v>557.65631030489487</v>
      </c>
      <c r="P97" s="29">
        <f t="shared" si="54"/>
        <v>584.49242094462659</v>
      </c>
    </row>
    <row r="98" spans="1:16" hidden="1" x14ac:dyDescent="0.45">
      <c r="A98" s="187" t="s">
        <v>218</v>
      </c>
      <c r="B98" s="29"/>
      <c r="C98" s="29"/>
      <c r="D98" s="29">
        <f>E$54</f>
        <v>323.84276352465292</v>
      </c>
      <c r="E98" s="29">
        <f t="shared" ref="E98:P98" si="55">F$54</f>
        <v>344.95919746100162</v>
      </c>
      <c r="F98" s="29">
        <f t="shared" si="55"/>
        <v>367.94371271739436</v>
      </c>
      <c r="G98" s="29">
        <f t="shared" si="55"/>
        <v>392.97566740376777</v>
      </c>
      <c r="H98" s="29">
        <f t="shared" si="55"/>
        <v>420.25232236217516</v>
      </c>
      <c r="I98" s="29">
        <f t="shared" si="55"/>
        <v>449.99067394926067</v>
      </c>
      <c r="J98" s="29">
        <f t="shared" si="55"/>
        <v>482.4294777748035</v>
      </c>
      <c r="K98" s="29">
        <f t="shared" si="55"/>
        <v>517.83148354083778</v>
      </c>
      <c r="L98" s="29">
        <f t="shared" si="55"/>
        <v>556.48590327014972</v>
      </c>
      <c r="M98" s="29">
        <f t="shared" si="55"/>
        <v>598.71113758704303</v>
      </c>
      <c r="N98" s="29">
        <f t="shared" si="55"/>
        <v>644.85778734187284</v>
      </c>
      <c r="O98" s="29">
        <f t="shared" si="55"/>
        <v>695.31198078142211</v>
      </c>
      <c r="P98" s="29">
        <f t="shared" si="55"/>
        <v>747.24732283780975</v>
      </c>
    </row>
    <row r="99" spans="1:16" hidden="1" x14ac:dyDescent="0.45">
      <c r="A99" s="187" t="s">
        <v>220</v>
      </c>
      <c r="B99" s="29"/>
      <c r="C99" s="29"/>
      <c r="D99" s="29"/>
      <c r="E99" s="29"/>
      <c r="F99" s="29">
        <f>F88</f>
        <v>1615.5940663641913</v>
      </c>
      <c r="G99" s="29">
        <f>G89+G91+G95</f>
        <v>1695.7161970284221</v>
      </c>
      <c r="H99" s="29">
        <f t="shared" ref="H99:P99" si="56">H89+H91+H95</f>
        <v>1780.9719503174565</v>
      </c>
      <c r="I99" s="29">
        <f t="shared" si="56"/>
        <v>1871.7079171916339</v>
      </c>
      <c r="J99" s="29">
        <f t="shared" si="56"/>
        <v>1968.2943695732224</v>
      </c>
      <c r="K99" s="29">
        <f t="shared" si="56"/>
        <v>2071.1268861638555</v>
      </c>
      <c r="L99" s="29">
        <f t="shared" si="56"/>
        <v>2180.6280902327708</v>
      </c>
      <c r="M99" s="29">
        <f t="shared" si="56"/>
        <v>2297.2495071061717</v>
      </c>
      <c r="N99" s="29">
        <f t="shared" si="56"/>
        <v>2421.4735496227777</v>
      </c>
      <c r="O99" s="29">
        <f t="shared" si="56"/>
        <v>2553.8156403924418</v>
      </c>
      <c r="P99" s="29">
        <f t="shared" si="56"/>
        <v>2694.8264803061834</v>
      </c>
    </row>
    <row r="100" spans="1:16" hidden="1" x14ac:dyDescent="0.45">
      <c r="A100" s="187" t="s">
        <v>221</v>
      </c>
      <c r="B100" s="29"/>
      <c r="C100" s="29"/>
      <c r="D100" s="29"/>
      <c r="E100" s="29"/>
      <c r="F100" s="29">
        <f>F88</f>
        <v>1615.5940663641913</v>
      </c>
      <c r="G100" s="29">
        <f>G89+G92+G96</f>
        <v>1722.7179097949218</v>
      </c>
      <c r="H100" s="29">
        <f t="shared" ref="H100:P100" si="57">H89+H92+H96</f>
        <v>1839.6075023988135</v>
      </c>
      <c r="I100" s="29">
        <f t="shared" si="57"/>
        <v>1967.2182711728124</v>
      </c>
      <c r="J100" s="29">
        <f t="shared" si="57"/>
        <v>2106.601842604251</v>
      </c>
      <c r="K100" s="29">
        <f t="shared" si="57"/>
        <v>2258.9159118102775</v>
      </c>
      <c r="L100" s="29">
        <f t="shared" si="57"/>
        <v>2425.4351382110121</v>
      </c>
      <c r="M100" s="29">
        <f t="shared" si="57"/>
        <v>2607.5631756415719</v>
      </c>
      <c r="N100" s="29">
        <f t="shared" si="57"/>
        <v>2806.8459562446055</v>
      </c>
      <c r="O100" s="29">
        <f t="shared" si="57"/>
        <v>3024.9863601415937</v>
      </c>
      <c r="P100" s="29">
        <f t="shared" si="57"/>
        <v>3263.8604168888</v>
      </c>
    </row>
    <row r="101" spans="1:16" hidden="1" x14ac:dyDescent="0.45">
      <c r="A101" s="187" t="s">
        <v>222</v>
      </c>
      <c r="B101" s="29"/>
      <c r="C101" s="29"/>
      <c r="D101" s="29">
        <f>D90+D93+D97</f>
        <v>1826.8387380187028</v>
      </c>
      <c r="E101" s="29">
        <f t="shared" ref="E101:P101" si="58">E90+E93+E97</f>
        <v>1916.5627398070023</v>
      </c>
      <c r="F101" s="29">
        <f t="shared" si="58"/>
        <v>2012.0249918573893</v>
      </c>
      <c r="G101" s="29">
        <f t="shared" si="58"/>
        <v>2113.6129478352846</v>
      </c>
      <c r="H101" s="29">
        <f t="shared" si="58"/>
        <v>2221.7405470873628</v>
      </c>
      <c r="I101" s="29">
        <f t="shared" si="58"/>
        <v>2336.8500340137389</v>
      </c>
      <c r="J101" s="29">
        <f t="shared" si="58"/>
        <v>2459.4139028086856</v>
      </c>
      <c r="K101" s="29">
        <f t="shared" si="58"/>
        <v>2589.9369762295128</v>
      </c>
      <c r="L101" s="29">
        <f t="shared" si="58"/>
        <v>2728.9586276525579</v>
      </c>
      <c r="M101" s="29">
        <f t="shared" si="58"/>
        <v>2877.0551563161212</v>
      </c>
      <c r="N101" s="29">
        <f t="shared" si="58"/>
        <v>3034.8423263354507</v>
      </c>
      <c r="O101" s="29">
        <f t="shared" si="58"/>
        <v>3202.978080807723</v>
      </c>
      <c r="P101" s="29">
        <f t="shared" si="58"/>
        <v>3378.9137162562724</v>
      </c>
    </row>
    <row r="102" spans="1:16" hidden="1" x14ac:dyDescent="0.45">
      <c r="A102" s="187" t="s">
        <v>223</v>
      </c>
      <c r="B102" s="29"/>
      <c r="C102" s="29"/>
      <c r="D102" s="29">
        <f>D90+D94+D98</f>
        <v>1826.8387380187028</v>
      </c>
      <c r="E102" s="29">
        <f t="shared" ref="E102:P102" si="59">E90+E94+E98</f>
        <v>1948.1907284942654</v>
      </c>
      <c r="F102" s="29">
        <f t="shared" si="59"/>
        <v>2080.7355828860764</v>
      </c>
      <c r="G102" s="29">
        <f t="shared" si="59"/>
        <v>2225.5818586743853</v>
      </c>
      <c r="H102" s="29">
        <f t="shared" si="59"/>
        <v>2383.9510064393148</v>
      </c>
      <c r="I102" s="29">
        <f t="shared" si="59"/>
        <v>2557.1890703070985</v>
      </c>
      <c r="J102" s="29">
        <f t="shared" si="59"/>
        <v>2746.7796164074803</v>
      </c>
      <c r="K102" s="29">
        <f t="shared" si="59"/>
        <v>2954.3580194416058</v>
      </c>
      <c r="L102" s="29">
        <f t="shared" si="59"/>
        <v>3181.7272513421804</v>
      </c>
      <c r="M102" s="29">
        <f t="shared" si="59"/>
        <v>3430.875331379762</v>
      </c>
      <c r="N102" s="29">
        <f t="shared" si="59"/>
        <v>3703.994614091479</v>
      </c>
      <c r="O102" s="29">
        <f t="shared" si="59"/>
        <v>4003.5031102590256</v>
      </c>
      <c r="P102" s="29">
        <f t="shared" si="59"/>
        <v>4328.816330186537</v>
      </c>
    </row>
    <row r="103" spans="1:16" hidden="1" x14ac:dyDescent="0.45">
      <c r="A103" s="187" t="s">
        <v>237</v>
      </c>
      <c r="B103" s="29"/>
      <c r="C103" s="29"/>
      <c r="D103" s="29"/>
      <c r="E103" s="29"/>
      <c r="F103" s="29"/>
      <c r="G103" s="29">
        <f>((G102-G99)/2)+G99</f>
        <v>1960.6490278514038</v>
      </c>
      <c r="H103" s="29">
        <f t="shared" ref="H103:P103" si="60">((H102-H99)/2)+H99</f>
        <v>2082.4614783783854</v>
      </c>
      <c r="I103" s="29">
        <f t="shared" si="60"/>
        <v>2214.4484937493662</v>
      </c>
      <c r="J103" s="29">
        <f t="shared" si="60"/>
        <v>2357.5369929903513</v>
      </c>
      <c r="K103" s="29">
        <f t="shared" si="60"/>
        <v>2512.7424528027304</v>
      </c>
      <c r="L103" s="29">
        <f t="shared" si="60"/>
        <v>2681.1776707874756</v>
      </c>
      <c r="M103" s="29">
        <f t="shared" si="60"/>
        <v>2864.0624192429668</v>
      </c>
      <c r="N103" s="29">
        <f t="shared" si="60"/>
        <v>3062.7340818571283</v>
      </c>
      <c r="O103" s="29">
        <f t="shared" si="60"/>
        <v>3278.6593753257339</v>
      </c>
      <c r="P103" s="29">
        <f t="shared" si="60"/>
        <v>3511.82140524636</v>
      </c>
    </row>
    <row r="104" spans="1:16" hidden="1" x14ac:dyDescent="0.45">
      <c r="A104" s="202" t="s">
        <v>450</v>
      </c>
      <c r="B104" s="29" t="e">
        <f>IF('Input - Workforce Supply'!F18=0,NA(),'Input - Workforce Supply'!F18)</f>
        <v>#N/A</v>
      </c>
      <c r="C104" s="29" t="e">
        <f>IF('Input - Workforce Supply'!G18=0,NA(),'Input - Workforce Supply'!G18)</f>
        <v>#N/A</v>
      </c>
      <c r="D104" s="29" t="e">
        <f>IF('Input - Workforce Supply'!H18=0,NA(),'Input - Workforce Supply'!H18)</f>
        <v>#N/A</v>
      </c>
      <c r="E104" s="29" t="e">
        <f>IF('Input - Workforce Supply'!I18=0,NA(),'Input - Workforce Supply'!I18)</f>
        <v>#N/A</v>
      </c>
      <c r="F104" s="29" t="e">
        <f>IF('Input - Workforce Supply'!J18=0,NA(),'Input - Workforce Supply'!J18)</f>
        <v>#N/A</v>
      </c>
      <c r="G104" s="29" t="e">
        <f>IF('Input - Workforce Supply'!K18=0,NA(),'Input - Workforce Supply'!K18)</f>
        <v>#N/A</v>
      </c>
      <c r="H104" s="29" t="e">
        <f>IF('Input - Workforce Supply'!L18=0,NA(),'Input - Workforce Supply'!L18)</f>
        <v>#N/A</v>
      </c>
      <c r="I104" s="29" t="e">
        <f>IF('Input - Workforce Supply'!M18=0,NA(),'Input - Workforce Supply'!M18)</f>
        <v>#N/A</v>
      </c>
      <c r="J104" s="29" t="e">
        <f>IF('Input - Workforce Supply'!N18=0,NA(),'Input - Workforce Supply'!N18)</f>
        <v>#N/A</v>
      </c>
      <c r="K104" s="29" t="e">
        <f>IF('Input - Workforce Supply'!O18=0,NA(),'Input - Workforce Supply'!O18)</f>
        <v>#N/A</v>
      </c>
      <c r="L104" s="29" t="e">
        <f>IF('Input - Workforce Supply'!P18=0,NA(),'Input - Workforce Supply'!P18)</f>
        <v>#N/A</v>
      </c>
      <c r="M104" s="29" t="e">
        <f>IF('Input - Workforce Supply'!Q18=0,NA(),'Input - Workforce Supply'!Q18)</f>
        <v>#N/A</v>
      </c>
      <c r="N104" s="29" t="e">
        <f>IF('Input - Workforce Supply'!R18=0,NA(),'Input - Workforce Supply'!R18)</f>
        <v>#N/A</v>
      </c>
      <c r="O104" s="29" t="e">
        <f>IF('Input - Workforce Supply'!S18=0,NA(),'Input - Workforce Supply'!S18)</f>
        <v>#N/A</v>
      </c>
      <c r="P104" s="29" t="e">
        <f>IF('Input - Workforce Supply'!T18=0,NA(),'Input - Workforce Supply'!T18)</f>
        <v>#N/A</v>
      </c>
    </row>
    <row r="105" spans="1:16" hidden="1" x14ac:dyDescent="0.45">
      <c r="A105" s="202" t="s">
        <v>451</v>
      </c>
      <c r="B105" s="29" t="e">
        <f>IF('Input - Workforce Supply'!F21=0,NA(),'Input - Workforce Supply'!F21)</f>
        <v>#N/A</v>
      </c>
      <c r="C105" s="29" t="e">
        <f>IF('Input - Workforce Supply'!G21=0,NA(),'Input - Workforce Supply'!G21)</f>
        <v>#N/A</v>
      </c>
      <c r="D105" s="29" t="e">
        <f>IF('Input - Workforce Supply'!H21=0,NA(),'Input - Workforce Supply'!H21)</f>
        <v>#N/A</v>
      </c>
      <c r="E105" s="29" t="e">
        <f>IF('Input - Workforce Supply'!I21=0,NA(),'Input - Workforce Supply'!I21)</f>
        <v>#N/A</v>
      </c>
      <c r="F105" s="29" t="e">
        <f>IF('Input - Workforce Supply'!J21=0,NA(),'Input - Workforce Supply'!J21)</f>
        <v>#N/A</v>
      </c>
      <c r="G105" s="29" t="e">
        <f>IF('Input - Workforce Supply'!K21=0,NA(),'Input - Workforce Supply'!K21)</f>
        <v>#N/A</v>
      </c>
      <c r="H105" s="29" t="e">
        <f>IF('Input - Workforce Supply'!L21=0,NA(),'Input - Workforce Supply'!L21)</f>
        <v>#N/A</v>
      </c>
      <c r="I105" s="29" t="e">
        <f>IF('Input - Workforce Supply'!M21=0,NA(),'Input - Workforce Supply'!M21)</f>
        <v>#N/A</v>
      </c>
      <c r="J105" s="29" t="e">
        <f>IF('Input - Workforce Supply'!N21=0,NA(),'Input - Workforce Supply'!N21)</f>
        <v>#N/A</v>
      </c>
      <c r="K105" s="29" t="e">
        <f>IF('Input - Workforce Supply'!O21=0,NA(),'Input - Workforce Supply'!O21)</f>
        <v>#N/A</v>
      </c>
      <c r="L105" s="29" t="e">
        <f>IF('Input - Workforce Supply'!P21=0,NA(),'Input - Workforce Supply'!P21)</f>
        <v>#N/A</v>
      </c>
      <c r="M105" s="29" t="e">
        <f>IF('Input - Workforce Supply'!Q21=0,NA(),'Input - Workforce Supply'!Q21)</f>
        <v>#N/A</v>
      </c>
      <c r="N105" s="29" t="e">
        <f>IF('Input - Workforce Supply'!R21=0,NA(),'Input - Workforce Supply'!R21)</f>
        <v>#N/A</v>
      </c>
      <c r="O105" s="29" t="e">
        <f>IF('Input - Workforce Supply'!S21=0,NA(),'Input - Workforce Supply'!S21)</f>
        <v>#N/A</v>
      </c>
      <c r="P105" s="29" t="e">
        <f>IF('Input - Workforce Supply'!T21=0,NA(),'Input - Workforce Supply'!T21)</f>
        <v>#N/A</v>
      </c>
    </row>
    <row r="106" spans="1:16" hidden="1" x14ac:dyDescent="0.45">
      <c r="A106" s="202" t="s">
        <v>452</v>
      </c>
      <c r="B106" s="29" t="e">
        <f>IF('Input - Workforce Supply'!F24=0,NA(),'Input - Workforce Supply'!F24)</f>
        <v>#N/A</v>
      </c>
      <c r="C106" s="29" t="e">
        <f>IF('Input - Workforce Supply'!G24=0,NA(),'Input - Workforce Supply'!G24)</f>
        <v>#N/A</v>
      </c>
      <c r="D106" s="29" t="e">
        <f>IF('Input - Workforce Supply'!H24=0,NA(),'Input - Workforce Supply'!H24)</f>
        <v>#N/A</v>
      </c>
      <c r="E106" s="29" t="e">
        <f>IF('Input - Workforce Supply'!I24=0,NA(),'Input - Workforce Supply'!I24)</f>
        <v>#N/A</v>
      </c>
      <c r="F106" s="29" t="e">
        <f>IF('Input - Workforce Supply'!J24=0,NA(),'Input - Workforce Supply'!J24)</f>
        <v>#N/A</v>
      </c>
      <c r="G106" s="29" t="e">
        <f>IF('Input - Workforce Supply'!K24=0,NA(),'Input - Workforce Supply'!K24)</f>
        <v>#N/A</v>
      </c>
      <c r="H106" s="29" t="e">
        <f>IF('Input - Workforce Supply'!L24=0,NA(),'Input - Workforce Supply'!L24)</f>
        <v>#N/A</v>
      </c>
      <c r="I106" s="29" t="e">
        <f>IF('Input - Workforce Supply'!M24=0,NA(),'Input - Workforce Supply'!M24)</f>
        <v>#N/A</v>
      </c>
      <c r="J106" s="29" t="e">
        <f>IF('Input - Workforce Supply'!N24=0,NA(),'Input - Workforce Supply'!N24)</f>
        <v>#N/A</v>
      </c>
      <c r="K106" s="29" t="e">
        <f>IF('Input - Workforce Supply'!O24=0,NA(),'Input - Workforce Supply'!O24)</f>
        <v>#N/A</v>
      </c>
      <c r="L106" s="29" t="e">
        <f>IF('Input - Workforce Supply'!P24=0,NA(),'Input - Workforce Supply'!P24)</f>
        <v>#N/A</v>
      </c>
      <c r="M106" s="29" t="e">
        <f>IF('Input - Workforce Supply'!Q24=0,NA(),'Input - Workforce Supply'!Q24)</f>
        <v>#N/A</v>
      </c>
      <c r="N106" s="29" t="e">
        <f>IF('Input - Workforce Supply'!R24=0,NA(),'Input - Workforce Supply'!R24)</f>
        <v>#N/A</v>
      </c>
      <c r="O106" s="29" t="e">
        <f>IF('Input - Workforce Supply'!S24=0,NA(),'Input - Workforce Supply'!S24)</f>
        <v>#N/A</v>
      </c>
      <c r="P106" s="29" t="e">
        <f>IF('Input - Workforce Supply'!T24=0,NA(),'Input - Workforce Supply'!T24)</f>
        <v>#N/A</v>
      </c>
    </row>
    <row r="107" spans="1:16" hidden="1" x14ac:dyDescent="0.45">
      <c r="A107" s="187" t="s">
        <v>198</v>
      </c>
      <c r="B107" s="29">
        <f>IF('Input - Workforce Supply'!F19=0,NA(),'Input - Workforce Supply'!F19)</f>
        <v>330.58600000000001</v>
      </c>
      <c r="C107" s="29">
        <f>IF('Input - Workforce Supply'!G19=0,NA(),'Input - Workforce Supply'!G19)</f>
        <v>341.149</v>
      </c>
      <c r="D107" s="29">
        <f>IF('Input - Workforce Supply'!H19=0,NA(),'Input - Workforce Supply'!H19)</f>
        <v>335.7</v>
      </c>
      <c r="E107" s="29">
        <f>IF('Input - Workforce Supply'!I19=0,NA(),'Input - Workforce Supply'!I19)</f>
        <v>332.4</v>
      </c>
      <c r="F107" s="29">
        <f>IF('Input - Workforce Supply'!J19=0,NA(),'Input - Workforce Supply'!J19)</f>
        <v>336.2</v>
      </c>
      <c r="G107" s="29" t="e">
        <f>IF('Input - Workforce Supply'!K19=0,NA(),'Input - Workforce Supply'!K19)</f>
        <v>#N/A</v>
      </c>
      <c r="H107" s="29" t="e">
        <f>IF('Input - Workforce Supply'!L19=0,NA(),'Input - Workforce Supply'!L19)</f>
        <v>#N/A</v>
      </c>
      <c r="I107" s="29" t="e">
        <f>IF('Input - Workforce Supply'!M19=0,NA(),'Input - Workforce Supply'!M19)</f>
        <v>#N/A</v>
      </c>
      <c r="J107" s="29" t="e">
        <f>IF('Input - Workforce Supply'!N19=0,NA(),'Input - Workforce Supply'!N19)</f>
        <v>#N/A</v>
      </c>
      <c r="K107" s="29" t="e">
        <f>IF('Input - Workforce Supply'!O19=0,NA(),'Input - Workforce Supply'!O19)</f>
        <v>#N/A</v>
      </c>
      <c r="L107" s="29" t="e">
        <f>IF('Input - Workforce Supply'!P19=0,NA(),'Input - Workforce Supply'!P19)</f>
        <v>#N/A</v>
      </c>
      <c r="M107" s="29" t="e">
        <f>IF('Input - Workforce Supply'!Q19=0,NA(),'Input - Workforce Supply'!Q19)</f>
        <v>#N/A</v>
      </c>
      <c r="N107" s="29" t="e">
        <f>IF('Input - Workforce Supply'!R19=0,NA(),'Input - Workforce Supply'!R19)</f>
        <v>#N/A</v>
      </c>
      <c r="O107" s="29" t="e">
        <f>IF('Input - Workforce Supply'!S19=0,NA(),'Input - Workforce Supply'!S19)</f>
        <v>#N/A</v>
      </c>
      <c r="P107" s="29" t="e">
        <f>IF('Input - Workforce Supply'!T19=0,NA(),'Input - Workforce Supply'!T19)</f>
        <v>#N/A</v>
      </c>
    </row>
    <row r="108" spans="1:16" hidden="1" x14ac:dyDescent="0.45">
      <c r="A108" s="187" t="s">
        <v>199</v>
      </c>
      <c r="B108" s="29">
        <f>IF('Input - Workforce Supply'!F22=0,NA(),'Input - Workforce Supply'!F22)</f>
        <v>821.44200000000001</v>
      </c>
      <c r="C108" s="29">
        <f>IF('Input - Workforce Supply'!G22=0,NA(),'Input - Workforce Supply'!G22)</f>
        <v>835.47199999999998</v>
      </c>
      <c r="D108" s="29">
        <f>IF('Input - Workforce Supply'!H22=0,NA(),'Input - Workforce Supply'!H22)</f>
        <v>861.2</v>
      </c>
      <c r="E108" s="29">
        <f>IF('Input - Workforce Supply'!I22=0,NA(),'Input - Workforce Supply'!I22)</f>
        <v>873.2</v>
      </c>
      <c r="F108" s="29">
        <f>IF('Input - Workforce Supply'!J22=0,NA(),'Input - Workforce Supply'!J22)</f>
        <v>905.8</v>
      </c>
      <c r="G108" s="29" t="e">
        <f>IF('Input - Workforce Supply'!K22=0,NA(),'Input - Workforce Supply'!K22)</f>
        <v>#N/A</v>
      </c>
      <c r="H108" s="29" t="e">
        <f>IF('Input - Workforce Supply'!L22=0,NA(),'Input - Workforce Supply'!L22)</f>
        <v>#N/A</v>
      </c>
      <c r="I108" s="29" t="e">
        <f>IF('Input - Workforce Supply'!M22=0,NA(),'Input - Workforce Supply'!M22)</f>
        <v>#N/A</v>
      </c>
      <c r="J108" s="29" t="e">
        <f>IF('Input - Workforce Supply'!N22=0,NA(),'Input - Workforce Supply'!N22)</f>
        <v>#N/A</v>
      </c>
      <c r="K108" s="29" t="e">
        <f>IF('Input - Workforce Supply'!O22=0,NA(),'Input - Workforce Supply'!O22)</f>
        <v>#N/A</v>
      </c>
      <c r="L108" s="29" t="e">
        <f>IF('Input - Workforce Supply'!P22=0,NA(),'Input - Workforce Supply'!P22)</f>
        <v>#N/A</v>
      </c>
      <c r="M108" s="29" t="e">
        <f>IF('Input - Workforce Supply'!Q22=0,NA(),'Input - Workforce Supply'!Q22)</f>
        <v>#N/A</v>
      </c>
      <c r="N108" s="29" t="e">
        <f>IF('Input - Workforce Supply'!R22=0,NA(),'Input - Workforce Supply'!R22)</f>
        <v>#N/A</v>
      </c>
      <c r="O108" s="29" t="e">
        <f>IF('Input - Workforce Supply'!S22=0,NA(),'Input - Workforce Supply'!S22)</f>
        <v>#N/A</v>
      </c>
      <c r="P108" s="29" t="e">
        <f>IF('Input - Workforce Supply'!T22=0,NA(),'Input - Workforce Supply'!T22)</f>
        <v>#N/A</v>
      </c>
    </row>
    <row r="109" spans="1:16" hidden="1" x14ac:dyDescent="0.45">
      <c r="A109" s="187" t="s">
        <v>200</v>
      </c>
      <c r="B109" s="29">
        <f>IF('Input - Workforce Supply'!F25=0,NA(),'Input - Workforce Supply'!F25)</f>
        <v>333.7</v>
      </c>
      <c r="C109" s="29">
        <f>IF('Input - Workforce Supply'!G25=0,NA(),'Input - Workforce Supply'!G25)</f>
        <v>342.3</v>
      </c>
      <c r="D109" s="29">
        <f>IF('Input - Workforce Supply'!H25=0,NA(),'Input - Workforce Supply'!H25)</f>
        <v>362.5</v>
      </c>
      <c r="E109" s="29">
        <f>IF('Input - Workforce Supply'!I25=0,NA(),'Input - Workforce Supply'!I25)</f>
        <v>379.1</v>
      </c>
      <c r="F109" s="29">
        <f>IF('Input - Workforce Supply'!J25=0,NA(),'Input - Workforce Supply'!J25)</f>
        <v>384.3</v>
      </c>
      <c r="G109" s="29" t="e">
        <f>IF('Input - Workforce Supply'!K25=0,NA(),'Input - Workforce Supply'!K25)</f>
        <v>#N/A</v>
      </c>
      <c r="H109" s="29" t="e">
        <f>IF('Input - Workforce Supply'!L25=0,NA(),'Input - Workforce Supply'!L25)</f>
        <v>#N/A</v>
      </c>
      <c r="I109" s="29" t="e">
        <f>IF('Input - Workforce Supply'!M25=0,NA(),'Input - Workforce Supply'!M25)</f>
        <v>#N/A</v>
      </c>
      <c r="J109" s="29" t="e">
        <f>IF('Input - Workforce Supply'!N25=0,NA(),'Input - Workforce Supply'!N25)</f>
        <v>#N/A</v>
      </c>
      <c r="K109" s="29" t="e">
        <f>IF('Input - Workforce Supply'!O25=0,NA(),'Input - Workforce Supply'!O25)</f>
        <v>#N/A</v>
      </c>
      <c r="L109" s="29" t="e">
        <f>IF('Input - Workforce Supply'!P25=0,NA(),'Input - Workforce Supply'!P25)</f>
        <v>#N/A</v>
      </c>
      <c r="M109" s="29" t="e">
        <f>IF('Input - Workforce Supply'!Q25=0,NA(),'Input - Workforce Supply'!Q25)</f>
        <v>#N/A</v>
      </c>
      <c r="N109" s="29" t="e">
        <f>IF('Input - Workforce Supply'!R25=0,NA(),'Input - Workforce Supply'!R25)</f>
        <v>#N/A</v>
      </c>
      <c r="O109" s="29" t="e">
        <f>IF('Input - Workforce Supply'!S25=0,NA(),'Input - Workforce Supply'!S25)</f>
        <v>#N/A</v>
      </c>
      <c r="P109" s="29" t="e">
        <f>IF('Input - Workforce Supply'!T25=0,NA(),'Input - Workforce Supply'!T25)</f>
        <v>#N/A</v>
      </c>
    </row>
    <row r="110" spans="1:16" hidden="1" x14ac:dyDescent="0.45">
      <c r="A110" s="202" t="s">
        <v>454</v>
      </c>
      <c r="B110" s="29" t="e">
        <f>IF('Input - Workforce Supply'!F20=0,NA(),'Input - Workforce Supply'!F20)</f>
        <v>#N/A</v>
      </c>
      <c r="C110" s="29" t="e">
        <f>IF('Input - Workforce Supply'!G20=0,NA(),'Input - Workforce Supply'!G20)</f>
        <v>#N/A</v>
      </c>
      <c r="D110" s="29" t="e">
        <f>IF('Input - Workforce Supply'!H20=0,NA(),'Input - Workforce Supply'!H20)</f>
        <v>#N/A</v>
      </c>
      <c r="E110" s="29" t="e">
        <f>IF('Input - Workforce Supply'!I20=0,NA(),'Input - Workforce Supply'!I20)</f>
        <v>#N/A</v>
      </c>
      <c r="F110" s="29" t="e">
        <f>IF('Input - Workforce Supply'!J20=0,NA(),'Input - Workforce Supply'!J20)</f>
        <v>#N/A</v>
      </c>
      <c r="G110" s="29" t="e">
        <f>IF('Input - Workforce Supply'!K20=0,NA(),'Input - Workforce Supply'!K20)</f>
        <v>#N/A</v>
      </c>
      <c r="H110" s="29" t="e">
        <f>IF('Input - Workforce Supply'!L20=0,NA(),'Input - Workforce Supply'!L20)</f>
        <v>#N/A</v>
      </c>
      <c r="I110" s="29" t="e">
        <f>IF('Input - Workforce Supply'!M20=0,NA(),'Input - Workforce Supply'!M20)</f>
        <v>#N/A</v>
      </c>
      <c r="J110" s="29" t="e">
        <f>IF('Input - Workforce Supply'!N20=0,NA(),'Input - Workforce Supply'!N20)</f>
        <v>#N/A</v>
      </c>
      <c r="K110" s="29" t="e">
        <f>IF('Input - Workforce Supply'!O20=0,NA(),'Input - Workforce Supply'!O20)</f>
        <v>#N/A</v>
      </c>
      <c r="L110" s="29" t="e">
        <f>IF('Input - Workforce Supply'!P20=0,NA(),'Input - Workforce Supply'!P20)</f>
        <v>#N/A</v>
      </c>
      <c r="M110" s="29" t="e">
        <f>IF('Input - Workforce Supply'!Q20=0,NA(),'Input - Workforce Supply'!Q20)</f>
        <v>#N/A</v>
      </c>
      <c r="N110" s="29" t="e">
        <f>IF('Input - Workforce Supply'!R20=0,NA(),'Input - Workforce Supply'!R20)</f>
        <v>#N/A</v>
      </c>
      <c r="O110" s="29" t="e">
        <f>IF('Input - Workforce Supply'!S20=0,NA(),'Input - Workforce Supply'!S20)</f>
        <v>#N/A</v>
      </c>
      <c r="P110" s="29" t="e">
        <f>IF('Input - Workforce Supply'!T20=0,NA(),'Input - Workforce Supply'!T20)</f>
        <v>#N/A</v>
      </c>
    </row>
    <row r="111" spans="1:16" hidden="1" x14ac:dyDescent="0.45">
      <c r="A111" s="202" t="s">
        <v>455</v>
      </c>
      <c r="B111" s="29" t="e">
        <f>IF('Input - Workforce Supply'!F23=0,NA(),'Input - Workforce Supply'!F23)</f>
        <v>#N/A</v>
      </c>
      <c r="C111" s="29" t="e">
        <f>IF('Input - Workforce Supply'!G23=0,NA(),'Input - Workforce Supply'!G23)</f>
        <v>#N/A</v>
      </c>
      <c r="D111" s="29" t="e">
        <f>IF('Input - Workforce Supply'!H23=0,NA(),'Input - Workforce Supply'!H23)</f>
        <v>#N/A</v>
      </c>
      <c r="E111" s="29" t="e">
        <f>IF('Input - Workforce Supply'!I23=0,NA(),'Input - Workforce Supply'!I23)</f>
        <v>#N/A</v>
      </c>
      <c r="F111" s="29" t="e">
        <f>IF('Input - Workforce Supply'!J23=0,NA(),'Input - Workforce Supply'!J23)</f>
        <v>#N/A</v>
      </c>
      <c r="G111" s="29" t="e">
        <f>IF('Input - Workforce Supply'!K23=0,NA(),'Input - Workforce Supply'!K23)</f>
        <v>#N/A</v>
      </c>
      <c r="H111" s="29" t="e">
        <f>IF('Input - Workforce Supply'!L23=0,NA(),'Input - Workforce Supply'!L23)</f>
        <v>#N/A</v>
      </c>
      <c r="I111" s="29" t="e">
        <f>IF('Input - Workforce Supply'!M23=0,NA(),'Input - Workforce Supply'!M23)</f>
        <v>#N/A</v>
      </c>
      <c r="J111" s="29" t="e">
        <f>IF('Input - Workforce Supply'!N23=0,NA(),'Input - Workforce Supply'!N23)</f>
        <v>#N/A</v>
      </c>
      <c r="K111" s="29" t="e">
        <f>IF('Input - Workforce Supply'!O23=0,NA(),'Input - Workforce Supply'!O23)</f>
        <v>#N/A</v>
      </c>
      <c r="L111" s="29" t="e">
        <f>IF('Input - Workforce Supply'!P23=0,NA(),'Input - Workforce Supply'!P23)</f>
        <v>#N/A</v>
      </c>
      <c r="M111" s="29" t="e">
        <f>IF('Input - Workforce Supply'!Q23=0,NA(),'Input - Workforce Supply'!Q23)</f>
        <v>#N/A</v>
      </c>
      <c r="N111" s="29" t="e">
        <f>IF('Input - Workforce Supply'!R23=0,NA(),'Input - Workforce Supply'!R23)</f>
        <v>#N/A</v>
      </c>
      <c r="O111" s="29" t="e">
        <f>IF('Input - Workforce Supply'!S23=0,NA(),'Input - Workforce Supply'!S23)</f>
        <v>#N/A</v>
      </c>
      <c r="P111" s="29" t="e">
        <f>IF('Input - Workforce Supply'!T23=0,NA(),'Input - Workforce Supply'!T23)</f>
        <v>#N/A</v>
      </c>
    </row>
    <row r="112" spans="1:16" hidden="1" x14ac:dyDescent="0.45">
      <c r="A112" s="202" t="s">
        <v>456</v>
      </c>
      <c r="B112" s="29" t="e">
        <f>IF('Input - Workforce Supply'!F26=0,NA(),'Input - Workforce Supply'!F26)</f>
        <v>#N/A</v>
      </c>
      <c r="C112" s="29" t="e">
        <f>IF('Input - Workforce Supply'!G26=0,NA(),'Input - Workforce Supply'!G26)</f>
        <v>#N/A</v>
      </c>
      <c r="D112" s="29" t="e">
        <f>IF('Input - Workforce Supply'!H26=0,NA(),'Input - Workforce Supply'!H26)</f>
        <v>#N/A</v>
      </c>
      <c r="E112" s="29" t="e">
        <f>IF('Input - Workforce Supply'!I26=0,NA(),'Input - Workforce Supply'!I26)</f>
        <v>#N/A</v>
      </c>
      <c r="F112" s="29" t="e">
        <f>IF('Input - Workforce Supply'!J26=0,NA(),'Input - Workforce Supply'!J26)</f>
        <v>#N/A</v>
      </c>
      <c r="G112" s="29" t="e">
        <f>IF('Input - Workforce Supply'!K26=0,NA(),'Input - Workforce Supply'!K26)</f>
        <v>#N/A</v>
      </c>
      <c r="H112" s="29" t="e">
        <f>IF('Input - Workforce Supply'!L26=0,NA(),'Input - Workforce Supply'!L26)</f>
        <v>#N/A</v>
      </c>
      <c r="I112" s="29" t="e">
        <f>IF('Input - Workforce Supply'!M26=0,NA(),'Input - Workforce Supply'!M26)</f>
        <v>#N/A</v>
      </c>
      <c r="J112" s="29" t="e">
        <f>IF('Input - Workforce Supply'!N26=0,NA(),'Input - Workforce Supply'!N26)</f>
        <v>#N/A</v>
      </c>
      <c r="K112" s="29" t="e">
        <f>IF('Input - Workforce Supply'!O26=0,NA(),'Input - Workforce Supply'!O26)</f>
        <v>#N/A</v>
      </c>
      <c r="L112" s="29" t="e">
        <f>IF('Input - Workforce Supply'!P26=0,NA(),'Input - Workforce Supply'!P26)</f>
        <v>#N/A</v>
      </c>
      <c r="M112" s="29" t="e">
        <f>IF('Input - Workforce Supply'!Q26=0,NA(),'Input - Workforce Supply'!Q26)</f>
        <v>#N/A</v>
      </c>
      <c r="N112" s="29" t="e">
        <f>IF('Input - Workforce Supply'!R26=0,NA(),'Input - Workforce Supply'!R26)</f>
        <v>#N/A</v>
      </c>
      <c r="O112" s="29" t="e">
        <f>IF('Input - Workforce Supply'!S26=0,NA(),'Input - Workforce Supply'!S26)</f>
        <v>#N/A</v>
      </c>
      <c r="P112" s="29" t="e">
        <f>IF('Input - Workforce Supply'!T26=0,NA(),'Input - Workforce Supply'!T26)</f>
        <v>#N/A</v>
      </c>
    </row>
    <row r="113" spans="1:16" hidden="1" x14ac:dyDescent="0.45">
      <c r="A113" s="187" t="s">
        <v>449</v>
      </c>
      <c r="B113" s="29" t="e">
        <f>IF('Input - Workforce Supply'!F33=0,NA(),'Input - Workforce Supply'!F33)</f>
        <v>#N/A</v>
      </c>
      <c r="C113" s="29" t="e">
        <f>IF('Input - Workforce Supply'!G33=0,NA(),'Input - Workforce Supply'!G33)</f>
        <v>#N/A</v>
      </c>
      <c r="D113" s="29" t="e">
        <f>IF('Input - Workforce Supply'!H33=0,NA(),'Input - Workforce Supply'!H33)</f>
        <v>#N/A</v>
      </c>
      <c r="E113" s="29" t="e">
        <f>IF('Input - Workforce Supply'!I33=0,NA(),'Input - Workforce Supply'!I33)</f>
        <v>#N/A</v>
      </c>
      <c r="F113" s="29" t="e">
        <f>IF('Input - Workforce Supply'!J33=0,NA(),'Input - Workforce Supply'!J33)</f>
        <v>#N/A</v>
      </c>
      <c r="G113" s="29" t="e">
        <f>IF('Input - Workforce Supply'!K33=0,NA(),'Input - Workforce Supply'!K33)</f>
        <v>#N/A</v>
      </c>
      <c r="H113" s="29" t="e">
        <f>IF('Input - Workforce Supply'!L33=0,NA(),'Input - Workforce Supply'!L33)</f>
        <v>#N/A</v>
      </c>
      <c r="I113" s="29" t="e">
        <f>IF('Input - Workforce Supply'!M33=0,NA(),'Input - Workforce Supply'!M33)</f>
        <v>#N/A</v>
      </c>
      <c r="J113" s="29" t="e">
        <f>IF('Input - Workforce Supply'!N33=0,NA(),'Input - Workforce Supply'!N33)</f>
        <v>#N/A</v>
      </c>
      <c r="K113" s="29" t="e">
        <f>IF('Input - Workforce Supply'!O33=0,NA(),'Input - Workforce Supply'!O33)</f>
        <v>#N/A</v>
      </c>
      <c r="L113" s="29" t="e">
        <f>IF('Input - Workforce Supply'!P33=0,NA(),'Input - Workforce Supply'!P33)</f>
        <v>#N/A</v>
      </c>
      <c r="M113" s="29" t="e">
        <f>IF('Input - Workforce Supply'!Q33=0,NA(),'Input - Workforce Supply'!Q33)</f>
        <v>#N/A</v>
      </c>
      <c r="N113" s="29" t="e">
        <f>IF('Input - Workforce Supply'!R33=0,NA(),'Input - Workforce Supply'!R33)</f>
        <v>#N/A</v>
      </c>
      <c r="O113" s="29" t="e">
        <f>IF('Input - Workforce Supply'!S33=0,NA(),'Input - Workforce Supply'!S33)</f>
        <v>#N/A</v>
      </c>
      <c r="P113" s="29" t="e">
        <f>IF('Input - Workforce Supply'!T33=0,NA(),'Input - Workforce Supply'!T33)</f>
        <v>#N/A</v>
      </c>
    </row>
    <row r="114" spans="1:16" hidden="1" x14ac:dyDescent="0.45">
      <c r="A114" s="187" t="s">
        <v>224</v>
      </c>
      <c r="B114" s="29">
        <f>IF('Input - Workforce Supply'!F34=0,NA(),'Input - Workforce Supply'!F34)</f>
        <v>1342.9458580084279</v>
      </c>
      <c r="C114" s="29">
        <f>IF('Input - Workforce Supply'!G34=0,NA(),'Input - Workforce Supply'!G34)</f>
        <v>1373.2322759852709</v>
      </c>
      <c r="D114" s="29">
        <f>IF('Input - Workforce Supply'!H34=0,NA(),'Input - Workforce Supply'!H34)</f>
        <v>1406.8841879773902</v>
      </c>
      <c r="E114" s="29">
        <f>IF('Input - Workforce Supply'!I34=0,NA(),'Input - Workforce Supply'!I34)</f>
        <v>1426.573808723389</v>
      </c>
      <c r="F114" s="29">
        <f>IF('Input - Workforce Supply'!J34=0,NA(),'Input - Workforce Supply'!J34)</f>
        <v>1466.4163405233408</v>
      </c>
      <c r="G114" s="29" t="e">
        <f>IF('Input - Workforce Supply'!K34=0,NA(),'Input - Workforce Supply'!K34)</f>
        <v>#N/A</v>
      </c>
      <c r="H114" s="29" t="e">
        <f>IF('Input - Workforce Supply'!L34=0,NA(),'Input - Workforce Supply'!L34)</f>
        <v>#N/A</v>
      </c>
      <c r="I114" s="29" t="e">
        <f>IF('Input - Workforce Supply'!M34=0,NA(),'Input - Workforce Supply'!M34)</f>
        <v>#N/A</v>
      </c>
      <c r="J114" s="29" t="e">
        <f>IF('Input - Workforce Supply'!N34=0,NA(),'Input - Workforce Supply'!N34)</f>
        <v>#N/A</v>
      </c>
      <c r="K114" s="29" t="e">
        <f>IF('Input - Workforce Supply'!O34=0,NA(),'Input - Workforce Supply'!O34)</f>
        <v>#N/A</v>
      </c>
      <c r="L114" s="29" t="e">
        <f>IF('Input - Workforce Supply'!P34=0,NA(),'Input - Workforce Supply'!P34)</f>
        <v>#N/A</v>
      </c>
      <c r="M114" s="29" t="e">
        <f>IF('Input - Workforce Supply'!Q34=0,NA(),'Input - Workforce Supply'!Q34)</f>
        <v>#N/A</v>
      </c>
      <c r="N114" s="29" t="e">
        <f>IF('Input - Workforce Supply'!R34=0,NA(),'Input - Workforce Supply'!R34)</f>
        <v>#N/A</v>
      </c>
      <c r="O114" s="29" t="e">
        <f>IF('Input - Workforce Supply'!S34=0,NA(),'Input - Workforce Supply'!S34)</f>
        <v>#N/A</v>
      </c>
      <c r="P114" s="29" t="e">
        <f>IF('Input - Workforce Supply'!T34=0,NA(),'Input - Workforce Supply'!T34)</f>
        <v>#N/A</v>
      </c>
    </row>
    <row r="115" spans="1:16" hidden="1" x14ac:dyDescent="0.45">
      <c r="A115" s="187" t="s">
        <v>453</v>
      </c>
      <c r="B115" s="29" t="e">
        <f>IF('Input - Workforce Supply'!F35=0,NA(),'Input - Workforce Supply'!F35)</f>
        <v>#N/A</v>
      </c>
      <c r="C115" s="29" t="e">
        <f>IF('Input - Workforce Supply'!G35=0,NA(),'Input - Workforce Supply'!G35)</f>
        <v>#N/A</v>
      </c>
      <c r="D115" s="29" t="e">
        <f>IF('Input - Workforce Supply'!H35=0,NA(),'Input - Workforce Supply'!H35)</f>
        <v>#N/A</v>
      </c>
      <c r="E115" s="29" t="e">
        <f>IF('Input - Workforce Supply'!I35=0,NA(),'Input - Workforce Supply'!I35)</f>
        <v>#N/A</v>
      </c>
      <c r="F115" s="29" t="e">
        <f>IF('Input - Workforce Supply'!J35=0,NA(),'Input - Workforce Supply'!J35)</f>
        <v>#N/A</v>
      </c>
      <c r="G115" s="29">
        <f>IF('Input - Workforce Supply'!K35=0,NA(),'Input - Workforce Supply'!K35)</f>
        <v>1478.0820948711294</v>
      </c>
      <c r="H115" s="29">
        <f>IF('Input - Workforce Supply'!L35=0,NA(),'Input - Workforce Supply'!L35)</f>
        <v>1496.3890619837841</v>
      </c>
      <c r="I115" s="29">
        <f>IF('Input - Workforce Supply'!M35=0,NA(),'Input - Workforce Supply'!M35)</f>
        <v>1521.633727593749</v>
      </c>
      <c r="J115" s="29">
        <f>IF('Input - Workforce Supply'!N35=0,NA(),'Input - Workforce Supply'!N35)</f>
        <v>1549.1350029638465</v>
      </c>
      <c r="K115" s="29">
        <f>IF('Input - Workforce Supply'!O35=0,NA(),'Input - Workforce Supply'!O35)</f>
        <v>1577.8881612367034</v>
      </c>
      <c r="L115" s="29">
        <f>IF('Input - Workforce Supply'!P35=0,NA(),'Input - Workforce Supply'!P35)</f>
        <v>1606.7567003871222</v>
      </c>
      <c r="M115" s="29">
        <f>IF('Input - Workforce Supply'!Q35=0,NA(),'Input - Workforce Supply'!Q35)</f>
        <v>1634.1140121131234</v>
      </c>
      <c r="N115" s="29">
        <f>IF('Input - Workforce Supply'!R35=0,NA(),'Input - Workforce Supply'!R35)</f>
        <v>1660.7441248013085</v>
      </c>
      <c r="O115" s="29">
        <f>IF('Input - Workforce Supply'!S35=0,NA(),'Input - Workforce Supply'!S35)</f>
        <v>1687.7712317306839</v>
      </c>
      <c r="P115" s="29">
        <f>IF('Input - Workforce Supply'!T35=0,NA(),'Input - Workforce Supply'!T35)</f>
        <v>1715.6566200061638</v>
      </c>
    </row>
    <row r="116" spans="1:16" x14ac:dyDescent="0.45">
      <c r="A116" s="153"/>
      <c r="B116" s="75"/>
      <c r="C116" s="75"/>
      <c r="D116" s="75"/>
      <c r="E116" s="75"/>
      <c r="F116" s="75"/>
      <c r="G116" s="75"/>
      <c r="H116" s="75"/>
      <c r="I116" s="75"/>
      <c r="J116" s="75"/>
      <c r="K116" s="75"/>
      <c r="L116" s="75"/>
      <c r="M116" s="75"/>
      <c r="N116" s="75"/>
      <c r="O116" s="75"/>
      <c r="P116" s="75"/>
    </row>
    <row r="117" spans="1:16" x14ac:dyDescent="0.45">
      <c r="A117" s="153"/>
      <c r="B117" s="75"/>
      <c r="C117" s="75"/>
      <c r="D117" s="75"/>
      <c r="E117" s="75"/>
      <c r="F117" s="75"/>
      <c r="G117" s="75"/>
      <c r="H117" s="75"/>
      <c r="I117" s="75"/>
      <c r="J117" s="75"/>
      <c r="K117" s="75"/>
      <c r="L117" s="75"/>
      <c r="M117" s="75"/>
      <c r="N117" s="75"/>
      <c r="O117" s="75"/>
      <c r="P117" s="75"/>
    </row>
    <row r="118" spans="1:16" x14ac:dyDescent="0.45">
      <c r="A118" s="153"/>
      <c r="B118" s="75"/>
      <c r="C118" s="75"/>
      <c r="D118" s="75"/>
      <c r="E118" s="75"/>
      <c r="F118" s="75"/>
      <c r="G118" s="75"/>
      <c r="H118" s="75"/>
      <c r="I118" s="75"/>
      <c r="J118" s="75"/>
      <c r="K118" s="75"/>
      <c r="L118" s="75"/>
      <c r="M118" s="75"/>
      <c r="N118" s="75"/>
      <c r="O118" s="75"/>
      <c r="P118" s="75"/>
    </row>
    <row r="119" spans="1:16" x14ac:dyDescent="0.45">
      <c r="A119" s="153"/>
      <c r="B119" s="75"/>
      <c r="C119" s="75"/>
      <c r="D119" s="75"/>
      <c r="E119" s="75"/>
      <c r="F119" s="75"/>
      <c r="G119" s="75"/>
      <c r="H119" s="75"/>
      <c r="I119" s="75"/>
      <c r="J119" s="75"/>
      <c r="K119" s="75"/>
      <c r="L119" s="75"/>
      <c r="M119" s="75"/>
      <c r="N119" s="75"/>
      <c r="O119" s="75"/>
      <c r="P119" s="75"/>
    </row>
    <row r="120" spans="1:16" x14ac:dyDescent="0.45">
      <c r="A120" s="153"/>
      <c r="B120" s="75"/>
      <c r="C120" s="75"/>
      <c r="D120" s="75"/>
      <c r="E120" s="75"/>
      <c r="F120" s="75"/>
      <c r="G120" s="75"/>
      <c r="H120" s="75"/>
      <c r="I120" s="75"/>
      <c r="J120" s="75"/>
      <c r="K120" s="75"/>
      <c r="L120" s="75"/>
      <c r="M120" s="75"/>
      <c r="N120" s="75"/>
      <c r="O120" s="75"/>
      <c r="P120" s="75"/>
    </row>
    <row r="121" spans="1:16" x14ac:dyDescent="0.45">
      <c r="A121" s="153"/>
      <c r="B121" s="75"/>
      <c r="C121" s="75"/>
      <c r="D121" s="75"/>
      <c r="E121" s="75"/>
      <c r="F121" s="75"/>
      <c r="G121" s="75"/>
      <c r="H121" s="75"/>
      <c r="I121" s="75"/>
      <c r="J121" s="75"/>
      <c r="K121" s="75"/>
      <c r="L121" s="75"/>
      <c r="M121" s="75"/>
      <c r="N121" s="75"/>
      <c r="O121" s="75"/>
      <c r="P121" s="75"/>
    </row>
    <row r="122" spans="1:16" x14ac:dyDescent="0.45">
      <c r="A122" s="153"/>
      <c r="B122" s="75"/>
      <c r="C122" s="75"/>
      <c r="D122" s="75"/>
      <c r="E122" s="75"/>
      <c r="F122" s="75"/>
      <c r="G122" s="75"/>
      <c r="H122" s="75"/>
      <c r="I122" s="75"/>
      <c r="J122" s="75"/>
      <c r="K122" s="75"/>
      <c r="L122" s="75"/>
      <c r="M122" s="75"/>
      <c r="N122" s="75"/>
      <c r="O122" s="75"/>
      <c r="P122" s="75"/>
    </row>
    <row r="123" spans="1:16" x14ac:dyDescent="0.45">
      <c r="A123" s="153"/>
      <c r="B123" s="75"/>
      <c r="C123" s="75"/>
      <c r="D123" s="75"/>
      <c r="E123" s="75"/>
      <c r="F123" s="75"/>
      <c r="G123" s="75"/>
      <c r="H123" s="75"/>
      <c r="I123" s="75"/>
      <c r="J123" s="75"/>
      <c r="K123" s="75"/>
      <c r="L123" s="75"/>
      <c r="M123" s="75"/>
      <c r="N123" s="75"/>
      <c r="O123" s="75"/>
      <c r="P123" s="75"/>
    </row>
    <row r="124" spans="1:16" x14ac:dyDescent="0.45">
      <c r="A124" s="153"/>
      <c r="B124" s="75"/>
      <c r="C124" s="75"/>
      <c r="D124" s="75"/>
      <c r="E124" s="75"/>
      <c r="F124" s="75"/>
      <c r="G124" s="75"/>
      <c r="H124" s="75"/>
      <c r="I124" s="75"/>
      <c r="J124" s="75"/>
      <c r="K124" s="75"/>
      <c r="L124" s="75"/>
      <c r="M124" s="75"/>
      <c r="N124" s="75"/>
      <c r="O124" s="75"/>
      <c r="P124" s="75"/>
    </row>
    <row r="125" spans="1:16" x14ac:dyDescent="0.45">
      <c r="A125" s="153"/>
      <c r="B125" s="75"/>
      <c r="C125" s="75"/>
      <c r="D125" s="75"/>
      <c r="E125" s="75"/>
      <c r="F125" s="75"/>
      <c r="G125" s="75"/>
      <c r="H125" s="75"/>
      <c r="I125" s="75"/>
      <c r="J125" s="75"/>
      <c r="K125" s="75"/>
      <c r="L125" s="75"/>
      <c r="M125" s="75"/>
      <c r="N125" s="75"/>
      <c r="O125" s="75"/>
      <c r="P125" s="75"/>
    </row>
    <row r="126" spans="1:16" x14ac:dyDescent="0.45">
      <c r="A126" s="153"/>
      <c r="B126" s="75"/>
      <c r="C126" s="75"/>
      <c r="D126" s="75"/>
      <c r="E126" s="75"/>
      <c r="F126" s="75"/>
      <c r="G126" s="75"/>
      <c r="H126" s="75"/>
      <c r="I126" s="75"/>
      <c r="J126" s="75"/>
      <c r="K126" s="75"/>
      <c r="L126" s="75"/>
      <c r="M126" s="75"/>
      <c r="N126" s="75"/>
      <c r="O126" s="75"/>
      <c r="P126" s="75"/>
    </row>
    <row r="127" spans="1:16" x14ac:dyDescent="0.45">
      <c r="A127" s="153"/>
      <c r="B127" s="75"/>
      <c r="C127" s="75"/>
      <c r="D127" s="75"/>
      <c r="E127" s="75"/>
      <c r="F127" s="75"/>
      <c r="G127" s="75"/>
      <c r="H127" s="75"/>
      <c r="I127" s="75"/>
      <c r="J127" s="75"/>
      <c r="K127" s="75"/>
      <c r="L127" s="75"/>
      <c r="M127" s="75"/>
      <c r="N127" s="75"/>
      <c r="O127" s="75"/>
      <c r="P127" s="75"/>
    </row>
    <row r="128" spans="1:16" x14ac:dyDescent="0.45">
      <c r="A128" s="153"/>
      <c r="B128" s="75"/>
      <c r="C128" s="75"/>
      <c r="D128" s="75"/>
      <c r="E128" s="75"/>
      <c r="F128" s="75"/>
      <c r="G128" s="75"/>
      <c r="H128" s="75"/>
      <c r="I128" s="75"/>
      <c r="J128" s="75"/>
      <c r="K128" s="75"/>
      <c r="L128" s="75"/>
      <c r="M128" s="75"/>
      <c r="N128" s="75"/>
      <c r="O128" s="75"/>
      <c r="P128" s="75"/>
    </row>
    <row r="129" spans="1:16" x14ac:dyDescent="0.45">
      <c r="A129" s="153"/>
      <c r="B129" s="75"/>
      <c r="C129" s="75"/>
      <c r="D129" s="75"/>
      <c r="E129" s="75"/>
      <c r="F129" s="75"/>
      <c r="G129" s="75"/>
      <c r="H129" s="75"/>
      <c r="I129" s="75"/>
      <c r="J129" s="75"/>
      <c r="K129" s="75"/>
      <c r="L129" s="75"/>
      <c r="M129" s="75"/>
      <c r="N129" s="75"/>
      <c r="O129" s="75"/>
      <c r="P129" s="75"/>
    </row>
    <row r="130" spans="1:16" x14ac:dyDescent="0.45">
      <c r="A130" s="153"/>
      <c r="B130" s="75"/>
      <c r="C130" s="75"/>
      <c r="D130" s="75"/>
      <c r="E130" s="75"/>
      <c r="F130" s="75"/>
      <c r="G130" s="75"/>
      <c r="H130" s="75"/>
      <c r="I130" s="75"/>
      <c r="J130" s="75"/>
      <c r="K130" s="75"/>
      <c r="L130" s="75"/>
      <c r="M130" s="75"/>
      <c r="N130" s="75"/>
      <c r="O130" s="75"/>
      <c r="P130" s="75"/>
    </row>
    <row r="131" spans="1:16" x14ac:dyDescent="0.45">
      <c r="A131" s="153"/>
      <c r="B131" s="75"/>
      <c r="C131" s="75"/>
      <c r="D131" s="75"/>
      <c r="E131" s="75"/>
      <c r="F131" s="75"/>
      <c r="G131" s="75"/>
      <c r="H131" s="75"/>
      <c r="I131" s="75"/>
      <c r="J131" s="75"/>
      <c r="K131" s="75"/>
      <c r="L131" s="75"/>
      <c r="M131" s="75"/>
      <c r="N131" s="75"/>
      <c r="O131" s="75"/>
      <c r="P131" s="75"/>
    </row>
    <row r="132" spans="1:16" x14ac:dyDescent="0.45">
      <c r="A132" s="153"/>
      <c r="B132" s="75"/>
      <c r="C132" s="75"/>
      <c r="D132" s="75"/>
      <c r="E132" s="75"/>
      <c r="F132" s="75"/>
      <c r="G132" s="75"/>
      <c r="H132" s="75"/>
      <c r="I132" s="75"/>
      <c r="J132" s="75"/>
      <c r="K132" s="75"/>
      <c r="L132" s="75"/>
      <c r="M132" s="75"/>
      <c r="N132" s="75"/>
      <c r="O132" s="75"/>
      <c r="P132" s="75"/>
    </row>
  </sheetData>
  <mergeCells count="70">
    <mergeCell ref="B61:B62"/>
    <mergeCell ref="C61:C62"/>
    <mergeCell ref="D61:D62"/>
    <mergeCell ref="F22:F23"/>
    <mergeCell ref="B22:B23"/>
    <mergeCell ref="B53:B54"/>
    <mergeCell ref="C51:D51"/>
    <mergeCell ref="E51:Q51"/>
    <mergeCell ref="C53:C54"/>
    <mergeCell ref="D53:D54"/>
    <mergeCell ref="G22:G23"/>
    <mergeCell ref="B30:B31"/>
    <mergeCell ref="C30:C31"/>
    <mergeCell ref="D30:D31"/>
    <mergeCell ref="E30:E31"/>
    <mergeCell ref="F30:F31"/>
    <mergeCell ref="F17:F18"/>
    <mergeCell ref="G17:G18"/>
    <mergeCell ref="A14:A15"/>
    <mergeCell ref="B9:B10"/>
    <mergeCell ref="E17:E18"/>
    <mergeCell ref="C14:C15"/>
    <mergeCell ref="D17:D18"/>
    <mergeCell ref="C20:G20"/>
    <mergeCell ref="A40:A41"/>
    <mergeCell ref="B14:B15"/>
    <mergeCell ref="C9:C10"/>
    <mergeCell ref="C25:G25"/>
    <mergeCell ref="C34:D34"/>
    <mergeCell ref="E34:Q34"/>
    <mergeCell ref="H25:Q25"/>
    <mergeCell ref="B27:B28"/>
    <mergeCell ref="C27:C28"/>
    <mergeCell ref="D27:D28"/>
    <mergeCell ref="E27:E28"/>
    <mergeCell ref="F27:F28"/>
    <mergeCell ref="A9:A10"/>
    <mergeCell ref="B17:B18"/>
    <mergeCell ref="C17:C18"/>
    <mergeCell ref="A45:A46"/>
    <mergeCell ref="B45:B46"/>
    <mergeCell ref="B48:B49"/>
    <mergeCell ref="C48:C49"/>
    <mergeCell ref="D48:D49"/>
    <mergeCell ref="H3:Q3"/>
    <mergeCell ref="G9:G10"/>
    <mergeCell ref="G14:G15"/>
    <mergeCell ref="D9:D10"/>
    <mergeCell ref="E9:E10"/>
    <mergeCell ref="F9:F10"/>
    <mergeCell ref="E14:E15"/>
    <mergeCell ref="F14:F15"/>
    <mergeCell ref="D14:D15"/>
    <mergeCell ref="C3:G3"/>
    <mergeCell ref="H20:Q20"/>
    <mergeCell ref="B58:B59"/>
    <mergeCell ref="C58:C59"/>
    <mergeCell ref="D58:D59"/>
    <mergeCell ref="C56:D56"/>
    <mergeCell ref="E56:Q56"/>
    <mergeCell ref="C45:C46"/>
    <mergeCell ref="D40:D41"/>
    <mergeCell ref="D45:D46"/>
    <mergeCell ref="B40:B41"/>
    <mergeCell ref="C40:C41"/>
    <mergeCell ref="C22:C23"/>
    <mergeCell ref="D22:D23"/>
    <mergeCell ref="G27:G28"/>
    <mergeCell ref="E22:E23"/>
    <mergeCell ref="G30:G31"/>
  </mergeCells>
  <phoneticPr fontId="12" type="noConversion"/>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Introduction</vt:lpstr>
      <vt:lpstr>User Guide</vt:lpstr>
      <vt:lpstr>Input - Throughput</vt:lpstr>
      <vt:lpstr>Input - Capacity</vt:lpstr>
      <vt:lpstr>Input - Activity and Demand</vt:lpstr>
      <vt:lpstr>Input - Workforce Supply</vt:lpstr>
      <vt:lpstr>Input - Modelling Variables</vt:lpstr>
      <vt:lpstr>Radiologists &amp; Reporting Radiog</vt:lpstr>
      <vt:lpstr>Diagnostic Radiography</vt:lpstr>
      <vt:lpstr>Sonographers</vt:lpstr>
      <vt:lpstr>Rationale</vt:lpstr>
    </vt:vector>
  </TitlesOfParts>
  <Company>NHS NSS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Currie</dc:creator>
  <cp:lastModifiedBy>Amy Currie</cp:lastModifiedBy>
  <dcterms:created xsi:type="dcterms:W3CDTF">2022-03-17T09:52:00Z</dcterms:created>
  <dcterms:modified xsi:type="dcterms:W3CDTF">2023-04-27T10:40:29Z</dcterms:modified>
</cp:coreProperties>
</file>